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garock7\Downloads\TT\"/>
    </mc:Choice>
  </mc:AlternateContent>
  <bookViews>
    <workbookView xWindow="0" yWindow="0" windowWidth="23040" windowHeight="9192" firstSheet="5" activeTab="5"/>
  </bookViews>
  <sheets>
    <sheet name="Datos" sheetId="1" state="hidden" r:id="rId1"/>
    <sheet name="CCPP" sheetId="5" state="hidden" r:id="rId2"/>
    <sheet name="Beta EM" sheetId="6" state="hidden" r:id="rId3"/>
    <sheet name="PM" sheetId="7" state="hidden" r:id="rId4"/>
    <sheet name="TRM" sheetId="8" state="hidden" r:id="rId5"/>
    <sheet name="TARIFA TPC 2022" sheetId="10" r:id="rId6"/>
    <sheet name="TARIFA TPC COVID" sheetId="12" state="hidden" r:id="rId7"/>
    <sheet name="$ porcentuales" sheetId="11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5" i="10" l="1"/>
  <c r="G66" i="10" s="1"/>
  <c r="B14" i="5" l="1"/>
  <c r="G67" i="10"/>
  <c r="G62" i="10"/>
  <c r="B15" i="5" l="1"/>
  <c r="G74" i="12" l="1"/>
  <c r="G73" i="12"/>
  <c r="G75" i="12" s="1"/>
  <c r="H20" i="12"/>
  <c r="K19" i="12"/>
  <c r="J19" i="12"/>
  <c r="J18" i="12"/>
  <c r="K18" i="12" s="1"/>
  <c r="L11" i="12" s="1"/>
  <c r="J17" i="12"/>
  <c r="K17" i="12" s="1"/>
  <c r="J11" i="12" s="1"/>
  <c r="J16" i="12"/>
  <c r="J20" i="12" s="1"/>
  <c r="L12" i="12"/>
  <c r="J12" i="12"/>
  <c r="I12" i="12"/>
  <c r="M6" i="12"/>
  <c r="L6" i="12"/>
  <c r="L7" i="12" s="1"/>
  <c r="J6" i="12"/>
  <c r="I6" i="12"/>
  <c r="E55" i="12" s="1"/>
  <c r="M5" i="12"/>
  <c r="M4" i="12"/>
  <c r="L13" i="12" l="1"/>
  <c r="J13" i="12"/>
  <c r="J7" i="12"/>
  <c r="K16" i="12"/>
  <c r="G76" i="12"/>
  <c r="I11" i="12" l="1"/>
  <c r="K20" i="12"/>
  <c r="L12" i="10"/>
  <c r="J12" i="10"/>
  <c r="I12" i="10"/>
  <c r="H20" i="10"/>
  <c r="J19" i="10"/>
  <c r="K19" i="10" s="1"/>
  <c r="J18" i="10"/>
  <c r="K18" i="10" s="1"/>
  <c r="J17" i="10"/>
  <c r="K17" i="10" s="1"/>
  <c r="J11" i="10" s="1"/>
  <c r="J16" i="10"/>
  <c r="L11" i="10" l="1"/>
  <c r="M11" i="12"/>
  <c r="I7" i="12"/>
  <c r="M7" i="12" s="1"/>
  <c r="I13" i="12"/>
  <c r="M13" i="12" s="1"/>
  <c r="E54" i="12" s="1"/>
  <c r="J20" i="10"/>
  <c r="K16" i="10"/>
  <c r="E70" i="12" l="1"/>
  <c r="E62" i="12"/>
  <c r="I55" i="12"/>
  <c r="H55" i="12" s="1"/>
  <c r="I37" i="12"/>
  <c r="H37" i="12" s="1"/>
  <c r="E35" i="12"/>
  <c r="I35" i="12" s="1"/>
  <c r="H35" i="12" s="1"/>
  <c r="E98" i="12"/>
  <c r="E67" i="12"/>
  <c r="E40" i="12"/>
  <c r="I40" i="12" s="1"/>
  <c r="H40" i="12" s="1"/>
  <c r="I34" i="12"/>
  <c r="E38" i="12"/>
  <c r="E75" i="12"/>
  <c r="E73" i="12"/>
  <c r="E76" i="12" s="1"/>
  <c r="E64" i="12"/>
  <c r="I64" i="12" s="1"/>
  <c r="H64" i="12" s="1"/>
  <c r="E37" i="12"/>
  <c r="E65" i="12"/>
  <c r="E69" i="12"/>
  <c r="I69" i="12" s="1"/>
  <c r="H69" i="12" s="1"/>
  <c r="I54" i="12"/>
  <c r="E34" i="12"/>
  <c r="E84" i="12"/>
  <c r="E66" i="12"/>
  <c r="I66" i="12" s="1"/>
  <c r="H66" i="12" s="1"/>
  <c r="E39" i="12"/>
  <c r="I39" i="12" s="1"/>
  <c r="H39" i="12" s="1"/>
  <c r="I73" i="12"/>
  <c r="E99" i="12"/>
  <c r="I65" i="12"/>
  <c r="H65" i="12" s="1"/>
  <c r="E63" i="12"/>
  <c r="I63" i="12" s="1"/>
  <c r="H63" i="12" s="1"/>
  <c r="I38" i="12"/>
  <c r="H38" i="12" s="1"/>
  <c r="E36" i="12"/>
  <c r="I36" i="12" s="1"/>
  <c r="H36" i="12" s="1"/>
  <c r="I67" i="12"/>
  <c r="H67" i="12" s="1"/>
  <c r="E74" i="12"/>
  <c r="I70" i="12"/>
  <c r="H70" i="12" s="1"/>
  <c r="E68" i="12"/>
  <c r="I68" i="12" s="1"/>
  <c r="H68" i="12" s="1"/>
  <c r="I62" i="12"/>
  <c r="E50" i="12"/>
  <c r="I50" i="12" s="1"/>
  <c r="H50" i="12" s="1"/>
  <c r="I31" i="12"/>
  <c r="I74" i="12"/>
  <c r="H74" i="12" s="1"/>
  <c r="I75" i="12"/>
  <c r="H75" i="12" s="1"/>
  <c r="I76" i="12"/>
  <c r="H76" i="12" s="1"/>
  <c r="K20" i="10"/>
  <c r="I11" i="10"/>
  <c r="I61" i="12" l="1"/>
  <c r="H62" i="12"/>
  <c r="H61" i="12" s="1"/>
  <c r="H54" i="12"/>
  <c r="E88" i="12"/>
  <c r="E85" i="12"/>
  <c r="I85" i="12" s="1"/>
  <c r="H85" i="12" s="1"/>
  <c r="E87" i="12"/>
  <c r="I87" i="12" s="1"/>
  <c r="H87" i="12" s="1"/>
  <c r="E86" i="12"/>
  <c r="I86" i="12" s="1"/>
  <c r="H86" i="12" s="1"/>
  <c r="H34" i="12"/>
  <c r="H73" i="12"/>
  <c r="H72" i="12" s="1"/>
  <c r="I72" i="12"/>
  <c r="H31" i="12"/>
  <c r="H30" i="12" s="1"/>
  <c r="I30" i="12"/>
  <c r="E43" i="12"/>
  <c r="I43" i="12" s="1"/>
  <c r="H43" i="12" s="1"/>
  <c r="E49" i="12"/>
  <c r="I49" i="12" s="1"/>
  <c r="H49" i="12" s="1"/>
  <c r="E56" i="12"/>
  <c r="E45" i="12"/>
  <c r="I45" i="12" s="1"/>
  <c r="H45" i="12" s="1"/>
  <c r="E51" i="12"/>
  <c r="I51" i="12" s="1"/>
  <c r="H51" i="12" s="1"/>
  <c r="E42" i="12"/>
  <c r="I42" i="12" s="1"/>
  <c r="H42" i="12" s="1"/>
  <c r="E48" i="12"/>
  <c r="I48" i="12" s="1"/>
  <c r="E44" i="12"/>
  <c r="I44" i="12" s="1"/>
  <c r="H44" i="12" s="1"/>
  <c r="E41" i="12"/>
  <c r="I41" i="12" s="1"/>
  <c r="H41" i="12" s="1"/>
  <c r="I84" i="12"/>
  <c r="E90" i="12" l="1"/>
  <c r="I90" i="12" s="1"/>
  <c r="H90" i="12" s="1"/>
  <c r="E89" i="12"/>
  <c r="I89" i="12" s="1"/>
  <c r="H89" i="12" s="1"/>
  <c r="I88" i="12"/>
  <c r="H88" i="12" s="1"/>
  <c r="H48" i="12"/>
  <c r="H47" i="12" s="1"/>
  <c r="I47" i="12"/>
  <c r="E57" i="12"/>
  <c r="I56" i="12"/>
  <c r="H84" i="12"/>
  <c r="H83" i="12" s="1"/>
  <c r="I83" i="12"/>
  <c r="I92" i="12" s="1"/>
  <c r="I33" i="12"/>
  <c r="H33" i="12"/>
  <c r="H56" i="12" l="1"/>
  <c r="H92" i="12"/>
  <c r="E58" i="12"/>
  <c r="I57" i="12"/>
  <c r="H57" i="12" s="1"/>
  <c r="E59" i="12" l="1"/>
  <c r="I59" i="12" s="1"/>
  <c r="H59" i="12" s="1"/>
  <c r="I58" i="12"/>
  <c r="H58" i="12" s="1"/>
  <c r="H53" i="12"/>
  <c r="H78" i="12" l="1"/>
  <c r="I53" i="12"/>
  <c r="I78" i="12" s="1"/>
  <c r="D5" i="11" l="1"/>
  <c r="C5" i="11"/>
  <c r="B5" i="11"/>
  <c r="L6" i="10"/>
  <c r="L7" i="10" s="1"/>
  <c r="J6" i="10"/>
  <c r="J7" i="10" s="1"/>
  <c r="I6" i="10"/>
  <c r="L13" i="10"/>
  <c r="J13" i="10"/>
  <c r="I13" i="10"/>
  <c r="M11" i="10"/>
  <c r="B2" i="11" s="1"/>
  <c r="M5" i="10"/>
  <c r="M4" i="10"/>
  <c r="M13" i="10" l="1"/>
  <c r="I7" i="10"/>
  <c r="M6" i="10"/>
  <c r="E50" i="10" s="1"/>
  <c r="C6" i="11"/>
  <c r="C7" i="11" s="1"/>
  <c r="B6" i="11"/>
  <c r="D6" i="11"/>
  <c r="D7" i="11" s="1"/>
  <c r="M7" i="10"/>
  <c r="E62" i="10" l="1"/>
  <c r="I41" i="10"/>
  <c r="H41" i="10" s="1"/>
  <c r="I60" i="10"/>
  <c r="H60" i="10" s="1"/>
  <c r="E61" i="10"/>
  <c r="I61" i="10" s="1"/>
  <c r="H61" i="10" s="1"/>
  <c r="I40" i="10"/>
  <c r="H40" i="10" s="1"/>
  <c r="I56" i="10"/>
  <c r="H56" i="10" s="1"/>
  <c r="I59" i="10"/>
  <c r="H59" i="10" s="1"/>
  <c r="I57" i="10"/>
  <c r="H57" i="10" s="1"/>
  <c r="E38" i="10"/>
  <c r="I38" i="10" s="1"/>
  <c r="H38" i="10" s="1"/>
  <c r="I58" i="10"/>
  <c r="H58" i="10" s="1"/>
  <c r="E46" i="10"/>
  <c r="I46" i="10" s="1"/>
  <c r="H46" i="10" s="1"/>
  <c r="E47" i="10"/>
  <c r="I47" i="10" s="1"/>
  <c r="H47" i="10" s="1"/>
  <c r="E42" i="10"/>
  <c r="E34" i="10"/>
  <c r="E52" i="10"/>
  <c r="E51" i="10"/>
  <c r="I62" i="10"/>
  <c r="H62" i="10" s="1"/>
  <c r="E66" i="10"/>
  <c r="I66" i="10" s="1"/>
  <c r="H66" i="10" s="1"/>
  <c r="I50" i="10"/>
  <c r="H50" i="10" s="1"/>
  <c r="I37" i="10"/>
  <c r="H37" i="10" s="1"/>
  <c r="I36" i="10"/>
  <c r="H36" i="10" s="1"/>
  <c r="I35" i="10"/>
  <c r="H35" i="10" s="1"/>
  <c r="I39" i="10"/>
  <c r="H39" i="10" s="1"/>
  <c r="I31" i="10"/>
  <c r="H31" i="10" s="1"/>
  <c r="H30" i="10" s="1"/>
  <c r="E75" i="10"/>
  <c r="E90" i="10"/>
  <c r="E65" i="10"/>
  <c r="E67" i="10" s="1"/>
  <c r="I67" i="10" s="1"/>
  <c r="H67" i="10" s="1"/>
  <c r="E89" i="10"/>
  <c r="B7" i="11"/>
  <c r="M12" i="12" s="1"/>
  <c r="E6" i="11"/>
  <c r="I94" i="6"/>
  <c r="K94" i="6" s="1"/>
  <c r="I93" i="6"/>
  <c r="K93" i="6" s="1"/>
  <c r="P8" i="8"/>
  <c r="P10" i="8"/>
  <c r="P12" i="8"/>
  <c r="P14" i="8"/>
  <c r="P16" i="8"/>
  <c r="P6" i="8"/>
  <c r="P4" i="8"/>
  <c r="P18" i="8"/>
  <c r="P20" i="8"/>
  <c r="P22" i="8"/>
  <c r="P24" i="8"/>
  <c r="P26" i="8"/>
  <c r="P28" i="8"/>
  <c r="P30" i="8"/>
  <c r="P32" i="8"/>
  <c r="P34" i="8"/>
  <c r="P36" i="8"/>
  <c r="P38" i="8"/>
  <c r="P40" i="8"/>
  <c r="P42" i="8"/>
  <c r="P44" i="8"/>
  <c r="P46" i="8"/>
  <c r="P48" i="8"/>
  <c r="P50" i="8"/>
  <c r="P52" i="8"/>
  <c r="P54" i="8"/>
  <c r="P56" i="8"/>
  <c r="P58" i="8"/>
  <c r="P60" i="8"/>
  <c r="P62" i="8"/>
  <c r="P64" i="8"/>
  <c r="P66" i="8"/>
  <c r="P68" i="8"/>
  <c r="P70" i="8"/>
  <c r="P72" i="8"/>
  <c r="P74" i="8"/>
  <c r="P76" i="8"/>
  <c r="P78" i="8"/>
  <c r="P80" i="8"/>
  <c r="P82" i="8"/>
  <c r="P84" i="8"/>
  <c r="P86" i="8"/>
  <c r="P88" i="8"/>
  <c r="P90" i="8"/>
  <c r="P92" i="8"/>
  <c r="P94" i="8"/>
  <c r="P96" i="8"/>
  <c r="P98" i="8"/>
  <c r="P100" i="8"/>
  <c r="P102" i="8"/>
  <c r="P104" i="8"/>
  <c r="P106" i="8"/>
  <c r="P108" i="8"/>
  <c r="P110" i="8"/>
  <c r="P112" i="8"/>
  <c r="P114" i="8"/>
  <c r="P116" i="8"/>
  <c r="P118" i="8"/>
  <c r="O1" i="8"/>
  <c r="B12" i="7"/>
  <c r="E12" i="7" s="1"/>
  <c r="B13" i="7"/>
  <c r="B14" i="7"/>
  <c r="B15" i="7"/>
  <c r="H15" i="7" s="1"/>
  <c r="B16" i="7"/>
  <c r="H16" i="7" s="1"/>
  <c r="B17" i="7"/>
  <c r="B18" i="7"/>
  <c r="B19" i="7"/>
  <c r="B20" i="7"/>
  <c r="B21" i="7"/>
  <c r="B22" i="7"/>
  <c r="B23" i="7"/>
  <c r="B24" i="7"/>
  <c r="I24" i="7" s="1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I40" i="7" s="1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D12" i="7"/>
  <c r="I12" i="7" s="1"/>
  <c r="D13" i="7"/>
  <c r="D14" i="7"/>
  <c r="D15" i="7"/>
  <c r="D16" i="7"/>
  <c r="D17" i="7"/>
  <c r="D18" i="7"/>
  <c r="D19" i="7"/>
  <c r="I19" i="7" s="1"/>
  <c r="D20" i="7"/>
  <c r="I20" i="7" s="1"/>
  <c r="D21" i="7"/>
  <c r="I21" i="7" s="1"/>
  <c r="D22" i="7"/>
  <c r="D23" i="7"/>
  <c r="D24" i="7"/>
  <c r="D25" i="7"/>
  <c r="I25" i="7" s="1"/>
  <c r="D26" i="7"/>
  <c r="I26" i="7" s="1"/>
  <c r="D27" i="7"/>
  <c r="I27" i="7" s="1"/>
  <c r="D28" i="7"/>
  <c r="I28" i="7" s="1"/>
  <c r="D29" i="7"/>
  <c r="D30" i="7"/>
  <c r="D31" i="7"/>
  <c r="D32" i="7"/>
  <c r="D33" i="7"/>
  <c r="D34" i="7"/>
  <c r="D35" i="7"/>
  <c r="I35" i="7" s="1"/>
  <c r="D36" i="7"/>
  <c r="I36" i="7" s="1"/>
  <c r="D37" i="7"/>
  <c r="I37" i="7" s="1"/>
  <c r="D38" i="7"/>
  <c r="D39" i="7"/>
  <c r="D40" i="7"/>
  <c r="D41" i="7"/>
  <c r="I41" i="7" s="1"/>
  <c r="D42" i="7"/>
  <c r="I42" i="7" s="1"/>
  <c r="D43" i="7"/>
  <c r="I43" i="7" s="1"/>
  <c r="D44" i="7"/>
  <c r="D45" i="7"/>
  <c r="D46" i="7"/>
  <c r="D47" i="7"/>
  <c r="D48" i="7"/>
  <c r="D49" i="7"/>
  <c r="D50" i="7"/>
  <c r="I50" i="7" s="1"/>
  <c r="D51" i="7"/>
  <c r="I51" i="7" s="1"/>
  <c r="D52" i="7"/>
  <c r="I52" i="7" s="1"/>
  <c r="D53" i="7"/>
  <c r="I53" i="7" s="1"/>
  <c r="D54" i="7"/>
  <c r="D55" i="7"/>
  <c r="D56" i="7"/>
  <c r="D57" i="7"/>
  <c r="I57" i="7" s="1"/>
  <c r="D58" i="7"/>
  <c r="I58" i="7" s="1"/>
  <c r="D59" i="7"/>
  <c r="I59" i="7" s="1"/>
  <c r="D60" i="7"/>
  <c r="D61" i="7"/>
  <c r="D62" i="7"/>
  <c r="D63" i="7"/>
  <c r="D64" i="7"/>
  <c r="D65" i="7"/>
  <c r="D66" i="7"/>
  <c r="D67" i="7"/>
  <c r="I67" i="7" s="1"/>
  <c r="D68" i="7"/>
  <c r="I68" i="7" s="1"/>
  <c r="D69" i="7"/>
  <c r="I69" i="7" s="1"/>
  <c r="D70" i="7"/>
  <c r="D71" i="7"/>
  <c r="D72" i="7"/>
  <c r="D73" i="7"/>
  <c r="D74" i="7"/>
  <c r="I74" i="7" s="1"/>
  <c r="D75" i="7"/>
  <c r="I75" i="7" s="1"/>
  <c r="D76" i="7"/>
  <c r="D77" i="7"/>
  <c r="D78" i="7"/>
  <c r="D79" i="7"/>
  <c r="D80" i="7"/>
  <c r="D81" i="7"/>
  <c r="I81" i="7" s="1"/>
  <c r="D82" i="7"/>
  <c r="I82" i="7" s="1"/>
  <c r="D83" i="7"/>
  <c r="I83" i="7" s="1"/>
  <c r="D84" i="7"/>
  <c r="I84" i="7" s="1"/>
  <c r="D85" i="7"/>
  <c r="I85" i="7" s="1"/>
  <c r="D86" i="7"/>
  <c r="D87" i="7"/>
  <c r="D88" i="7"/>
  <c r="D89" i="7"/>
  <c r="I89" i="7" s="1"/>
  <c r="D90" i="7"/>
  <c r="I90" i="7" s="1"/>
  <c r="D91" i="7"/>
  <c r="I91" i="7" s="1"/>
  <c r="D92" i="7"/>
  <c r="I92" i="7" s="1"/>
  <c r="D93" i="7"/>
  <c r="F12" i="7"/>
  <c r="F13" i="7" s="1"/>
  <c r="F14" i="7" s="1"/>
  <c r="F15" i="7" s="1"/>
  <c r="F16" i="7" s="1"/>
  <c r="F17" i="7" s="1"/>
  <c r="C18" i="7"/>
  <c r="H18" i="7" s="1"/>
  <c r="C19" i="7"/>
  <c r="H19" i="7" s="1"/>
  <c r="C20" i="7"/>
  <c r="H20" i="7" s="1"/>
  <c r="C21" i="7"/>
  <c r="C22" i="7"/>
  <c r="C23" i="7"/>
  <c r="C24" i="7"/>
  <c r="C25" i="7"/>
  <c r="H25" i="7" s="1"/>
  <c r="C26" i="7"/>
  <c r="H26" i="7" s="1"/>
  <c r="C27" i="7"/>
  <c r="H27" i="7" s="1"/>
  <c r="C28" i="7"/>
  <c r="C29" i="7"/>
  <c r="C30" i="7"/>
  <c r="C31" i="7"/>
  <c r="C32" i="7"/>
  <c r="C33" i="7"/>
  <c r="H33" i="7" s="1"/>
  <c r="C34" i="7"/>
  <c r="H34" i="7" s="1"/>
  <c r="C35" i="7"/>
  <c r="H35" i="7" s="1"/>
  <c r="C36" i="7"/>
  <c r="C37" i="7"/>
  <c r="C38" i="7"/>
  <c r="C39" i="7"/>
  <c r="C40" i="7"/>
  <c r="C41" i="7"/>
  <c r="H41" i="7" s="1"/>
  <c r="C42" i="7"/>
  <c r="C43" i="7"/>
  <c r="H43" i="7" s="1"/>
  <c r="C44" i="7"/>
  <c r="H44" i="7" s="1"/>
  <c r="C45" i="7"/>
  <c r="C46" i="7"/>
  <c r="C47" i="7"/>
  <c r="C48" i="7"/>
  <c r="C49" i="7"/>
  <c r="H49" i="7" s="1"/>
  <c r="C50" i="7"/>
  <c r="C51" i="7"/>
  <c r="H51" i="7" s="1"/>
  <c r="C52" i="7"/>
  <c r="C53" i="7"/>
  <c r="C54" i="7"/>
  <c r="C55" i="7"/>
  <c r="C56" i="7"/>
  <c r="C57" i="7"/>
  <c r="H57" i="7" s="1"/>
  <c r="C58" i="7"/>
  <c r="C59" i="7"/>
  <c r="H59" i="7" s="1"/>
  <c r="C60" i="7"/>
  <c r="C61" i="7"/>
  <c r="C62" i="7"/>
  <c r="C63" i="7"/>
  <c r="C64" i="7"/>
  <c r="C65" i="7"/>
  <c r="H65" i="7" s="1"/>
  <c r="C66" i="7"/>
  <c r="C67" i="7"/>
  <c r="H67" i="7" s="1"/>
  <c r="C68" i="7"/>
  <c r="C69" i="7"/>
  <c r="C70" i="7"/>
  <c r="C71" i="7"/>
  <c r="C72" i="7"/>
  <c r="C73" i="7"/>
  <c r="H73" i="7" s="1"/>
  <c r="C74" i="7"/>
  <c r="C75" i="7"/>
  <c r="H75" i="7" s="1"/>
  <c r="C76" i="7"/>
  <c r="H76" i="7" s="1"/>
  <c r="C77" i="7"/>
  <c r="C78" i="7"/>
  <c r="C79" i="7"/>
  <c r="C80" i="7"/>
  <c r="C81" i="7"/>
  <c r="H81" i="7" s="1"/>
  <c r="C82" i="7"/>
  <c r="C83" i="7"/>
  <c r="H83" i="7" s="1"/>
  <c r="C84" i="7"/>
  <c r="C85" i="7"/>
  <c r="C86" i="7"/>
  <c r="H86" i="7" s="1"/>
  <c r="C87" i="7"/>
  <c r="C88" i="7"/>
  <c r="C89" i="7"/>
  <c r="H89" i="7" s="1"/>
  <c r="C90" i="7"/>
  <c r="C91" i="7"/>
  <c r="H91" i="7" s="1"/>
  <c r="C92" i="7"/>
  <c r="C93" i="7"/>
  <c r="I49" i="7"/>
  <c r="I65" i="7"/>
  <c r="I66" i="7"/>
  <c r="I73" i="7"/>
  <c r="H60" i="7"/>
  <c r="I17" i="7"/>
  <c r="I18" i="7"/>
  <c r="I33" i="7"/>
  <c r="I34" i="7"/>
  <c r="H17" i="7"/>
  <c r="H36" i="7"/>
  <c r="L4" i="1"/>
  <c r="J7" i="1"/>
  <c r="J8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L5" i="1"/>
  <c r="L16" i="1"/>
  <c r="L14" i="1"/>
  <c r="L18" i="1"/>
  <c r="L17" i="1"/>
  <c r="L15" i="1"/>
  <c r="L13" i="1"/>
  <c r="L12" i="1"/>
  <c r="L11" i="1"/>
  <c r="L10" i="1"/>
  <c r="L9" i="1"/>
  <c r="L8" i="1"/>
  <c r="L7" i="1"/>
  <c r="L6" i="1"/>
  <c r="E76" i="10" l="1"/>
  <c r="I76" i="10" s="1"/>
  <c r="H76" i="10" s="1"/>
  <c r="E79" i="10"/>
  <c r="I42" i="10"/>
  <c r="H42" i="10" s="1"/>
  <c r="I75" i="10"/>
  <c r="H75" i="10" s="1"/>
  <c r="E77" i="10"/>
  <c r="I77" i="10" s="1"/>
  <c r="H77" i="10" s="1"/>
  <c r="I55" i="10"/>
  <c r="I65" i="10"/>
  <c r="H65" i="10" s="1"/>
  <c r="H64" i="10" s="1"/>
  <c r="H72" i="7"/>
  <c r="H64" i="7"/>
  <c r="H48" i="7"/>
  <c r="H40" i="7"/>
  <c r="H32" i="7"/>
  <c r="I87" i="7"/>
  <c r="I55" i="7"/>
  <c r="I47" i="7"/>
  <c r="I39" i="7"/>
  <c r="I23" i="7"/>
  <c r="H88" i="7"/>
  <c r="I16" i="7"/>
  <c r="J93" i="6"/>
  <c r="K95" i="6"/>
  <c r="B4" i="5" s="1"/>
  <c r="I30" i="10"/>
  <c r="H55" i="10"/>
  <c r="I34" i="10"/>
  <c r="H34" i="10" s="1"/>
  <c r="I45" i="10"/>
  <c r="E78" i="10"/>
  <c r="I78" i="10" s="1"/>
  <c r="H78" i="10" s="1"/>
  <c r="M12" i="10"/>
  <c r="E7" i="11"/>
  <c r="H93" i="7"/>
  <c r="H77" i="7"/>
  <c r="H69" i="7"/>
  <c r="H61" i="7"/>
  <c r="H53" i="7"/>
  <c r="H45" i="7"/>
  <c r="H37" i="7"/>
  <c r="H29" i="7"/>
  <c r="H21" i="7"/>
  <c r="F18" i="7"/>
  <c r="H80" i="7"/>
  <c r="H56" i="7"/>
  <c r="I32" i="7"/>
  <c r="H24" i="7"/>
  <c r="I86" i="7"/>
  <c r="I46" i="7"/>
  <c r="I38" i="7"/>
  <c r="I30" i="7"/>
  <c r="I22" i="7"/>
  <c r="I14" i="7"/>
  <c r="C96" i="7"/>
  <c r="I93" i="7"/>
  <c r="H85" i="7"/>
  <c r="I77" i="7"/>
  <c r="I61" i="7"/>
  <c r="I45" i="7"/>
  <c r="I29" i="7"/>
  <c r="I13" i="7"/>
  <c r="H68" i="7"/>
  <c r="H52" i="7"/>
  <c r="B97" i="7"/>
  <c r="G97" i="7" s="1"/>
  <c r="H28" i="7"/>
  <c r="H92" i="7"/>
  <c r="H84" i="7"/>
  <c r="I88" i="7"/>
  <c r="I80" i="7"/>
  <c r="I64" i="7"/>
  <c r="I56" i="7"/>
  <c r="I48" i="7"/>
  <c r="I72" i="7"/>
  <c r="H90" i="7"/>
  <c r="H82" i="7"/>
  <c r="H74" i="7"/>
  <c r="H66" i="7"/>
  <c r="H58" i="7"/>
  <c r="H50" i="7"/>
  <c r="H42" i="7"/>
  <c r="H62" i="7"/>
  <c r="C98" i="7"/>
  <c r="H13" i="7"/>
  <c r="H70" i="7"/>
  <c r="H12" i="7"/>
  <c r="H54" i="7"/>
  <c r="E13" i="7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J44" i="7" s="1"/>
  <c r="F19" i="7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I54" i="7"/>
  <c r="H78" i="7"/>
  <c r="D97" i="7"/>
  <c r="G12" i="7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H79" i="7"/>
  <c r="H71" i="7"/>
  <c r="H63" i="7"/>
  <c r="H31" i="7"/>
  <c r="B9" i="5"/>
  <c r="B10" i="5" s="1"/>
  <c r="B11" i="5" s="1"/>
  <c r="B5" i="5"/>
  <c r="H23" i="7"/>
  <c r="I31" i="7"/>
  <c r="H38" i="7"/>
  <c r="H30" i="7"/>
  <c r="H22" i="7"/>
  <c r="H14" i="7"/>
  <c r="I71" i="7"/>
  <c r="I62" i="7"/>
  <c r="D96" i="7"/>
  <c r="I70" i="7"/>
  <c r="B98" i="7"/>
  <c r="I76" i="7"/>
  <c r="I60" i="7"/>
  <c r="I44" i="7"/>
  <c r="H39" i="7"/>
  <c r="I15" i="7"/>
  <c r="I63" i="7"/>
  <c r="B96" i="7"/>
  <c r="I79" i="7"/>
  <c r="H55" i="7"/>
  <c r="H47" i="7"/>
  <c r="I78" i="7"/>
  <c r="J94" i="6"/>
  <c r="J95" i="6" s="1"/>
  <c r="L93" i="6" s="1"/>
  <c r="D98" i="7"/>
  <c r="C97" i="7"/>
  <c r="H46" i="7"/>
  <c r="H87" i="7"/>
  <c r="H98" i="7"/>
  <c r="I64" i="10" l="1"/>
  <c r="H33" i="10"/>
  <c r="I33" i="10"/>
  <c r="I51" i="10"/>
  <c r="H45" i="10"/>
  <c r="H44" i="10" s="1"/>
  <c r="I44" i="10"/>
  <c r="E80" i="10"/>
  <c r="I80" i="10" s="1"/>
  <c r="H80" i="10" s="1"/>
  <c r="E81" i="10"/>
  <c r="I81" i="10" s="1"/>
  <c r="H81" i="10" s="1"/>
  <c r="I79" i="10"/>
  <c r="H79" i="10" s="1"/>
  <c r="B17" i="5"/>
  <c r="F97" i="7"/>
  <c r="I98" i="7"/>
  <c r="E7" i="7"/>
  <c r="F98" i="7"/>
  <c r="I97" i="7"/>
  <c r="E6" i="7"/>
  <c r="I96" i="7"/>
  <c r="H96" i="7"/>
  <c r="H97" i="7"/>
  <c r="E45" i="7"/>
  <c r="E46" i="7" s="1"/>
  <c r="F96" i="7"/>
  <c r="G96" i="7"/>
  <c r="G98" i="7"/>
  <c r="D103" i="7"/>
  <c r="D102" i="7"/>
  <c r="D101" i="7"/>
  <c r="C102" i="7"/>
  <c r="C101" i="7"/>
  <c r="C103" i="7"/>
  <c r="D12" i="12" l="1"/>
  <c r="D12" i="10"/>
  <c r="G98" i="12"/>
  <c r="I98" i="12" s="1"/>
  <c r="D16" i="12"/>
  <c r="G99" i="12" s="1"/>
  <c r="I99" i="12" s="1"/>
  <c r="H99" i="12" s="1"/>
  <c r="H74" i="10"/>
  <c r="H83" i="10" s="1"/>
  <c r="H51" i="10"/>
  <c r="I52" i="10"/>
  <c r="H52" i="10" s="1"/>
  <c r="I74" i="10"/>
  <c r="I83" i="10" s="1"/>
  <c r="B18" i="5"/>
  <c r="J45" i="7"/>
  <c r="E47" i="7"/>
  <c r="J46" i="7"/>
  <c r="H98" i="12" l="1"/>
  <c r="H97" i="12" s="1"/>
  <c r="I97" i="12"/>
  <c r="I101" i="12" s="1"/>
  <c r="I104" i="12" s="1"/>
  <c r="D16" i="10"/>
  <c r="G89" i="10"/>
  <c r="I89" i="10" s="1"/>
  <c r="I53" i="10"/>
  <c r="H53" i="10" s="1"/>
  <c r="E48" i="7"/>
  <c r="J47" i="7"/>
  <c r="G90" i="10" l="1"/>
  <c r="I90" i="10" s="1"/>
  <c r="H90" i="10" s="1"/>
  <c r="H49" i="10"/>
  <c r="H69" i="10" s="1"/>
  <c r="I108" i="12"/>
  <c r="I111" i="12" s="1"/>
  <c r="I112" i="12" s="1"/>
  <c r="I113" i="12" s="1"/>
  <c r="J78" i="12"/>
  <c r="H101" i="12"/>
  <c r="H104" i="12" s="1"/>
  <c r="J97" i="12" s="1"/>
  <c r="J101" i="12" s="1"/>
  <c r="H89" i="10"/>
  <c r="H88" i="10" s="1"/>
  <c r="H92" i="10" s="1"/>
  <c r="I88" i="10"/>
  <c r="I92" i="10" s="1"/>
  <c r="I49" i="10"/>
  <c r="I69" i="10" s="1"/>
  <c r="E49" i="7"/>
  <c r="J48" i="7"/>
  <c r="H95" i="10" l="1"/>
  <c r="J49" i="10" s="1"/>
  <c r="J83" i="12"/>
  <c r="J30" i="12"/>
  <c r="J53" i="12"/>
  <c r="J33" i="12"/>
  <c r="J47" i="12"/>
  <c r="J92" i="12"/>
  <c r="J104" i="12" s="1"/>
  <c r="J72" i="12"/>
  <c r="J61" i="12"/>
  <c r="I95" i="10"/>
  <c r="J69" i="10" s="1"/>
  <c r="J74" i="10"/>
  <c r="E50" i="7"/>
  <c r="J49" i="7"/>
  <c r="J44" i="10" l="1"/>
  <c r="J30" i="10"/>
  <c r="J88" i="10"/>
  <c r="J92" i="10" s="1"/>
  <c r="J95" i="10" s="1"/>
  <c r="J55" i="10"/>
  <c r="J33" i="10"/>
  <c r="J64" i="10"/>
  <c r="J83" i="10"/>
  <c r="I99" i="10"/>
  <c r="E51" i="7"/>
  <c r="J50" i="7"/>
  <c r="I102" i="10" l="1"/>
  <c r="I100" i="10"/>
  <c r="E52" i="7"/>
  <c r="J51" i="7"/>
  <c r="E53" i="7" l="1"/>
  <c r="J52" i="7"/>
  <c r="E54" i="7" l="1"/>
  <c r="J53" i="7"/>
  <c r="E55" i="7" l="1"/>
  <c r="J54" i="7"/>
  <c r="J55" i="7" l="1"/>
  <c r="E56" i="7"/>
  <c r="E57" i="7" l="1"/>
  <c r="J56" i="7"/>
  <c r="E58" i="7" l="1"/>
  <c r="J57" i="7"/>
  <c r="E59" i="7" l="1"/>
  <c r="J58" i="7"/>
  <c r="E60" i="7" l="1"/>
  <c r="J59" i="7"/>
  <c r="E61" i="7" l="1"/>
  <c r="J60" i="7"/>
  <c r="J61" i="7" l="1"/>
  <c r="E62" i="7"/>
  <c r="E63" i="7" l="1"/>
  <c r="E5" i="7"/>
  <c r="J62" i="7"/>
  <c r="E64" i="7" l="1"/>
  <c r="J63" i="7"/>
  <c r="E65" i="7" l="1"/>
  <c r="J64" i="7"/>
  <c r="E66" i="7" l="1"/>
  <c r="J65" i="7"/>
  <c r="E67" i="7" l="1"/>
  <c r="J66" i="7"/>
  <c r="E68" i="7" l="1"/>
  <c r="J67" i="7"/>
  <c r="E69" i="7" l="1"/>
  <c r="J68" i="7"/>
  <c r="E70" i="7" l="1"/>
  <c r="J69" i="7"/>
  <c r="E71" i="7" l="1"/>
  <c r="J70" i="7"/>
  <c r="J71" i="7" l="1"/>
  <c r="E72" i="7"/>
  <c r="E73" i="7" l="1"/>
  <c r="J72" i="7"/>
  <c r="E74" i="7" l="1"/>
  <c r="J73" i="7"/>
  <c r="E75" i="7" l="1"/>
  <c r="J74" i="7"/>
  <c r="E76" i="7" l="1"/>
  <c r="J75" i="7"/>
  <c r="E77" i="7" l="1"/>
  <c r="J76" i="7"/>
  <c r="J77" i="7" l="1"/>
  <c r="E78" i="7"/>
  <c r="E79" i="7" l="1"/>
  <c r="J78" i="7"/>
  <c r="E80" i="7" l="1"/>
  <c r="J79" i="7"/>
  <c r="E81" i="7" l="1"/>
  <c r="J80" i="7"/>
  <c r="E82" i="7" l="1"/>
  <c r="J81" i="7"/>
  <c r="E83" i="7" l="1"/>
  <c r="J82" i="7"/>
  <c r="J83" i="7" l="1"/>
  <c r="E84" i="7"/>
  <c r="E85" i="7" l="1"/>
  <c r="J84" i="7"/>
  <c r="J85" i="7" l="1"/>
  <c r="E86" i="7"/>
  <c r="E87" i="7" l="1"/>
  <c r="J86" i="7"/>
  <c r="E88" i="7" l="1"/>
  <c r="J87" i="7"/>
  <c r="E89" i="7" l="1"/>
  <c r="J88" i="7"/>
  <c r="E90" i="7" l="1"/>
  <c r="J89" i="7"/>
  <c r="E91" i="7" l="1"/>
  <c r="J90" i="7"/>
  <c r="J91" i="7" l="1"/>
  <c r="E92" i="7"/>
  <c r="E93" i="7" l="1"/>
  <c r="J92" i="7"/>
  <c r="B103" i="7" l="1"/>
  <c r="J93" i="7"/>
  <c r="E8" i="7"/>
  <c r="B102" i="7"/>
  <c r="B101" i="7"/>
  <c r="F102" i="7" l="1"/>
  <c r="G102" i="7"/>
  <c r="G101" i="7"/>
  <c r="F101" i="7"/>
  <c r="F103" i="7"/>
  <c r="G103" i="7"/>
</calcChain>
</file>

<file path=xl/comments1.xml><?xml version="1.0" encoding="utf-8"?>
<comments xmlns="http://schemas.openxmlformats.org/spreadsheetml/2006/main">
  <authors>
    <author>Angarock7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DTF + 8PTOS</t>
        </r>
      </text>
    </comment>
  </commentList>
</comments>
</file>

<file path=xl/comments2.xml><?xml version="1.0" encoding="utf-8"?>
<comments xmlns="http://schemas.openxmlformats.org/spreadsheetml/2006/main">
  <authors>
    <author>Aswath Damodaran</author>
  </authors>
  <commentList>
    <comment ref="C2" authorId="0" shapeId="0">
      <text>
        <r>
          <rPr>
            <b/>
            <sz val="9"/>
            <color indexed="81"/>
            <rFont val="Geneva"/>
            <family val="2"/>
          </rPr>
          <t>Aswath Damodaran:</t>
        </r>
        <r>
          <rPr>
            <sz val="9"/>
            <color indexed="81"/>
            <rFont val="Geneva"/>
            <family val="2"/>
          </rPr>
          <t xml:space="preserve">
ST: Short term (Treasury bill)
LT: Long term (Treasury bond)</t>
        </r>
      </text>
    </comment>
    <comment ref="C3" authorId="0" shapeId="0">
      <text>
        <r>
          <rPr>
            <b/>
            <sz val="9"/>
            <color indexed="81"/>
            <rFont val="Geneva"/>
            <family val="2"/>
          </rPr>
          <t>Aswath Damodaran:</t>
        </r>
        <r>
          <rPr>
            <sz val="9"/>
            <color indexed="81"/>
            <rFont val="Geneva"/>
            <family val="2"/>
          </rPr>
          <t xml:space="preserve">
The risk premium will be computed from this year to the current year.</t>
        </r>
      </text>
    </comment>
  </commentList>
</comments>
</file>

<file path=xl/comments3.xml><?xml version="1.0" encoding="utf-8"?>
<comments xmlns="http://schemas.openxmlformats.org/spreadsheetml/2006/main">
  <authors>
    <author>Angarock7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E58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>Angarock7:</t>
        </r>
        <r>
          <rPr>
            <sz val="9"/>
            <color indexed="81"/>
            <rFont val="Tahoma"/>
            <family val="2"/>
          </rPr>
          <t xml:space="preserve">
ESTUDIO ACTUALIZACIÓN TARIFA POR EMPRESAS ENERO 2022</t>
        </r>
      </text>
    </comment>
  </commentList>
</comments>
</file>

<file path=xl/sharedStrings.xml><?xml version="1.0" encoding="utf-8"?>
<sst xmlns="http://schemas.openxmlformats.org/spreadsheetml/2006/main" count="445" uniqueCount="322">
  <si>
    <t>Endeudamiento</t>
  </si>
  <si>
    <t>CCPP</t>
  </si>
  <si>
    <t>Paso</t>
  </si>
  <si>
    <t>Tasas de descuento</t>
  </si>
  <si>
    <t>USD</t>
  </si>
  <si>
    <t>COP</t>
  </si>
  <si>
    <t>Tasa libre de riesgo</t>
  </si>
  <si>
    <t>Riesgo País</t>
  </si>
  <si>
    <t>Premio de Mercado</t>
  </si>
  <si>
    <t>Beta apalancado</t>
  </si>
  <si>
    <t>Costo del patrimonio</t>
  </si>
  <si>
    <t>Deuda</t>
  </si>
  <si>
    <t>Después de impuestos</t>
  </si>
  <si>
    <t>Beta de los activos</t>
  </si>
  <si>
    <t>Macroeconómicos</t>
  </si>
  <si>
    <t>Inflación Promedio COP</t>
  </si>
  <si>
    <t>Inflación Promedio USD</t>
  </si>
  <si>
    <t>Devaluación Promedio</t>
  </si>
  <si>
    <t>Tasa de Impuestos</t>
  </si>
  <si>
    <t>Parámetros CAPM</t>
  </si>
  <si>
    <t>Spread</t>
  </si>
  <si>
    <t>AAA</t>
  </si>
  <si>
    <t>AA</t>
  </si>
  <si>
    <t>A</t>
  </si>
  <si>
    <t>BBB</t>
  </si>
  <si>
    <t>B</t>
  </si>
  <si>
    <t>CCC</t>
  </si>
  <si>
    <t>A-</t>
  </si>
  <si>
    <t>Calificación</t>
  </si>
  <si>
    <t>A+</t>
  </si>
  <si>
    <t xml:space="preserve">BB </t>
  </si>
  <si>
    <t>B+</t>
  </si>
  <si>
    <t>B-</t>
  </si>
  <si>
    <t xml:space="preserve">D </t>
  </si>
  <si>
    <t>Tasa</t>
  </si>
  <si>
    <t>C</t>
  </si>
  <si>
    <t>CC</t>
  </si>
  <si>
    <t>Promedios</t>
  </si>
  <si>
    <t>Advertising</t>
  </si>
  <si>
    <t>Aerospace/Defense</t>
  </si>
  <si>
    <t>Air Transport</t>
  </si>
  <si>
    <t>Apparel</t>
  </si>
  <si>
    <t>Auto &amp; Truck</t>
  </si>
  <si>
    <t>Auto Parts</t>
  </si>
  <si>
    <t>Bank</t>
  </si>
  <si>
    <t>Biotechnology</t>
  </si>
  <si>
    <t>Building Materials</t>
  </si>
  <si>
    <t>Cable TV</t>
  </si>
  <si>
    <t>Chemical (Basic)</t>
  </si>
  <si>
    <t>Chemical (Diversified)</t>
  </si>
  <si>
    <t>Chemical (Specialty)</t>
  </si>
  <si>
    <t>Computers/Peripherals</t>
  </si>
  <si>
    <t>Educational Services</t>
  </si>
  <si>
    <t>Electrical Equipment</t>
  </si>
  <si>
    <t>Electronics</t>
  </si>
  <si>
    <t>Entertainment</t>
  </si>
  <si>
    <t>Food Processing</t>
  </si>
  <si>
    <t>Furn/Home Furnishings</t>
  </si>
  <si>
    <t>Heavy Construction</t>
  </si>
  <si>
    <t>Homebuilding</t>
  </si>
  <si>
    <t>Hotel/Gaming</t>
  </si>
  <si>
    <t>Household Products</t>
  </si>
  <si>
    <t>Information Services</t>
  </si>
  <si>
    <t>Insurance (Life)</t>
  </si>
  <si>
    <t>Insurance (Prop/Cas.)</t>
  </si>
  <si>
    <t>Investment Co.</t>
  </si>
  <si>
    <t>Machinery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</si>
  <si>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</si>
  <si>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</si>
  <si>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</si>
  <si>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</si>
  <si>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</si>
  <si>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</si>
  <si>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R.E.I.T.</t>
  </si>
  <si>
    <t>Railroad</t>
  </si>
  <si>
    <t>Recreation</t>
  </si>
  <si>
    <t>Reinsurance</t>
  </si>
  <si>
    <t>Restaurant</t>
  </si>
  <si>
    <t>Retail (Special Lines)</t>
  </si>
  <si>
    <t>Semiconductor</t>
  </si>
  <si>
    <t>Semiconductor Equip</t>
  </si>
  <si>
    <t>Shoe</t>
  </si>
  <si>
    <t>Telecom. Equipment</t>
  </si>
  <si>
    <t>Telecom. Services</t>
  </si>
  <si>
    <t>Thrift</t>
  </si>
  <si>
    <t>Tobacco</t>
  </si>
  <si>
    <t>Trucking</t>
  </si>
  <si>
    <t>Total Market</t>
  </si>
  <si>
    <t>http://www.cesla.com/</t>
  </si>
  <si>
    <t>Industry Group</t>
  </si>
  <si>
    <t>Number of firms</t>
  </si>
  <si>
    <t xml:space="preserve">Beta </t>
  </si>
  <si>
    <t>D/E Ratio</t>
  </si>
  <si>
    <t>Tax rate</t>
  </si>
  <si>
    <t>Unlevered beta</t>
  </si>
  <si>
    <t>Cash/Firm value</t>
  </si>
  <si>
    <t>Unlevered beta corrected for cash</t>
  </si>
  <si>
    <t>Banks (Regional)</t>
  </si>
  <si>
    <t xml:space="preserve">Beverage </t>
  </si>
  <si>
    <t>Beverage (Alcoholic)</t>
  </si>
  <si>
    <t>Broadcasting</t>
  </si>
  <si>
    <t>Brokerage &amp; Investment Banking</t>
  </si>
  <si>
    <t>Business &amp; Consumer Services</t>
  </si>
  <si>
    <t>Coal &amp; Related Energy</t>
  </si>
  <si>
    <t>Computer Services</t>
  </si>
  <si>
    <t>Computer Software</t>
  </si>
  <si>
    <t>Construction</t>
  </si>
  <si>
    <t>Diversified</t>
  </si>
  <si>
    <t>Electronics (Consumer &amp; Office)</t>
  </si>
  <si>
    <t>Engineering</t>
  </si>
  <si>
    <t>Environmental &amp; Waste Services</t>
  </si>
  <si>
    <t>Farming/Agriculture</t>
  </si>
  <si>
    <t>Financial Svcs.</t>
  </si>
  <si>
    <t>Financial Svcs. (Non-bank &amp; Insurance)</t>
  </si>
  <si>
    <t>Food Wholesalers</t>
  </si>
  <si>
    <t>Healthcare Services</t>
  </si>
  <si>
    <t>Heathcare Information and Technology</t>
  </si>
  <si>
    <t>Heathcare Products &amp; Services</t>
  </si>
  <si>
    <t>Heathcare Services</t>
  </si>
  <si>
    <t>Insurance (General)</t>
  </si>
  <si>
    <t>Intenet software and services</t>
  </si>
  <si>
    <t>Metals &amp; Mining</t>
  </si>
  <si>
    <t>Office Equipment &amp; Services</t>
  </si>
  <si>
    <t>Oil/Gas (Integrated)</t>
  </si>
  <si>
    <t>Oil/Gas (Production and Exploration)</t>
  </si>
  <si>
    <t>Pharma &amp; Drugs</t>
  </si>
  <si>
    <t>Publshing &amp; Newspapers</t>
  </si>
  <si>
    <t>Real Estate</t>
  </si>
  <si>
    <t>Real Estate (Development)</t>
  </si>
  <si>
    <t>Real Estate (Operations &amp; Services)</t>
  </si>
  <si>
    <t>Retail (Automotive)</t>
  </si>
  <si>
    <t>Retail (Building Supply)</t>
  </si>
  <si>
    <t>Retail (Distributors)</t>
  </si>
  <si>
    <t>Retail (General)</t>
  </si>
  <si>
    <t>Retail (Grocery and Food)</t>
  </si>
  <si>
    <t>Retail (Internet)</t>
  </si>
  <si>
    <t>Rubber&amp; Tires</t>
  </si>
  <si>
    <t>Shipbuilding &amp; Marine</t>
  </si>
  <si>
    <t>Steel</t>
  </si>
  <si>
    <t>Telecom (Wireless)</t>
  </si>
  <si>
    <t>Tranportation</t>
  </si>
  <si>
    <t>Utility (General)</t>
  </si>
  <si>
    <t>Utility (Water)</t>
  </si>
  <si>
    <t>Customixed Geometric risk premium estimator</t>
  </si>
  <si>
    <t>What is your riskfree rate?</t>
  </si>
  <si>
    <t>LT</t>
    <phoneticPr fontId="14" type="noConversion"/>
  </si>
  <si>
    <t>Estimates of risk premiums from 1928, over the last 40 years and over the last 10 years</t>
  </si>
  <si>
    <t>Enter your starting year</t>
  </si>
  <si>
    <t>are provided at the bottom of this table.</t>
  </si>
  <si>
    <t>Value of stocks in starting year:</t>
  </si>
  <si>
    <t>Value of T.Bills in starting year:</t>
    <phoneticPr fontId="14" type="noConversion"/>
  </si>
  <si>
    <t>Value of T.bonds in starting year:</t>
  </si>
  <si>
    <t>Estimate of risk premium based on your inputs:</t>
  </si>
  <si>
    <t>Annual Returns on Investments in</t>
  </si>
  <si>
    <t>Compounded Value of $ 100</t>
  </si>
  <si>
    <t>Year</t>
  </si>
  <si>
    <t>Stocks</t>
  </si>
  <si>
    <t>T.Bills</t>
  </si>
  <si>
    <t>T.Bonds</t>
  </si>
  <si>
    <t>Stocks - Bills</t>
    <phoneticPr fontId="14" type="noConversion"/>
  </si>
  <si>
    <t>Stocks - Bonds</t>
    <phoneticPr fontId="14" type="noConversion"/>
  </si>
  <si>
    <t>Geometric average premium</t>
    <phoneticPr fontId="14" type="noConversion"/>
  </si>
  <si>
    <t>Risk Premium</t>
  </si>
  <si>
    <t>Standard Error</t>
    <phoneticPr fontId="14" type="noConversion"/>
  </si>
  <si>
    <t>Arithmetic Average</t>
  </si>
  <si>
    <t>Stocks - T.Bills</t>
  </si>
  <si>
    <t>Stocks - T.Bonds</t>
  </si>
  <si>
    <t>1928-2009</t>
    <phoneticPr fontId="14" type="noConversion"/>
  </si>
  <si>
    <t>1960-2009</t>
    <phoneticPr fontId="14" type="noConversion"/>
  </si>
  <si>
    <t>2000-2009</t>
    <phoneticPr fontId="14" type="noConversion"/>
  </si>
  <si>
    <t>Geometric Average</t>
  </si>
  <si>
    <t>www.bloomberg.com</t>
  </si>
  <si>
    <t>http://pages.stern.nyu.edu/~adamodar/</t>
  </si>
  <si>
    <t>D/E</t>
  </si>
  <si>
    <t>E/(D+E)</t>
  </si>
  <si>
    <t>-</t>
  </si>
  <si>
    <t>weight average</t>
  </si>
  <si>
    <t>Ciudad</t>
  </si>
  <si>
    <t>PARAMETROS DE OPERACIÓN</t>
  </si>
  <si>
    <t>ORDINARIOS</t>
  </si>
  <si>
    <t>SABADOS</t>
  </si>
  <si>
    <t>DOM / FEST.</t>
  </si>
  <si>
    <t>BASE</t>
  </si>
  <si>
    <t>Fecha</t>
  </si>
  <si>
    <t>LONG. DE RUTA</t>
  </si>
  <si>
    <t>CLASE DE VEHICULO                         TIPO DE SERVICIO</t>
  </si>
  <si>
    <t>BUS</t>
  </si>
  <si>
    <t>No. RECORRIDOS</t>
  </si>
  <si>
    <t>Basico</t>
  </si>
  <si>
    <t>KILOMETROS DIA</t>
  </si>
  <si>
    <t>VALOR COMERCIAL</t>
  </si>
  <si>
    <t>KILOMETROS MES</t>
  </si>
  <si>
    <t>Modelo Promedio</t>
  </si>
  <si>
    <t>PROMEDIO MOVILIZACIÓN ACTUALMENTE</t>
  </si>
  <si>
    <t>No. DE DIAS</t>
  </si>
  <si>
    <t>wacc</t>
  </si>
  <si>
    <t>PASAJEROS DIA</t>
  </si>
  <si>
    <t>Potencia</t>
  </si>
  <si>
    <t>PASAJEROS MES</t>
  </si>
  <si>
    <t>Costo de Capital</t>
  </si>
  <si>
    <t>VIDA UTIL</t>
  </si>
  <si>
    <t>CONDICIONES DE OPERACIÓN</t>
  </si>
  <si>
    <t>ITEM</t>
  </si>
  <si>
    <t>CANT.</t>
  </si>
  <si>
    <t>FRECUENCIA (Kmts)</t>
  </si>
  <si>
    <t>PRECIO</t>
  </si>
  <si>
    <t>PESOS / KMT</t>
  </si>
  <si>
    <t>%</t>
  </si>
  <si>
    <t>UNITARIO</t>
  </si>
  <si>
    <t>PESOS /</t>
  </si>
  <si>
    <t>MES</t>
  </si>
  <si>
    <t>COSTOS OPERATIVOS (VARIABLES)</t>
  </si>
  <si>
    <t>COMBUSTIBLE</t>
  </si>
  <si>
    <t>Gasolina</t>
  </si>
  <si>
    <t>LUBRICANTES</t>
  </si>
  <si>
    <t>Aceite Motor</t>
  </si>
  <si>
    <t>Valvulina</t>
  </si>
  <si>
    <t>Aditivos</t>
  </si>
  <si>
    <t>Filtro Aceite</t>
  </si>
  <si>
    <t>Filtro Combustible</t>
  </si>
  <si>
    <t>Filtro Aire</t>
  </si>
  <si>
    <t>LLANTAS</t>
  </si>
  <si>
    <t>Llantas</t>
  </si>
  <si>
    <t>Neumaticos</t>
  </si>
  <si>
    <t>Protectores</t>
  </si>
  <si>
    <t>SERVICIOS DE ESTACIÓN</t>
  </si>
  <si>
    <t>Montallantas</t>
  </si>
  <si>
    <t>Lavado</t>
  </si>
  <si>
    <t>Engrase</t>
  </si>
  <si>
    <t>Petrolizada</t>
  </si>
  <si>
    <t>Lav. Motor</t>
  </si>
  <si>
    <t>Grua</t>
  </si>
  <si>
    <t>MANTENIMIENTO</t>
  </si>
  <si>
    <t>Repuestos</t>
  </si>
  <si>
    <t>SALARIOS Y PREST.</t>
  </si>
  <si>
    <t>Conductor</t>
  </si>
  <si>
    <t>Prestaciones y Aportes</t>
  </si>
  <si>
    <t>TOTAL COSTOS OPERATIVOS</t>
  </si>
  <si>
    <t>COSTOS ADMINISTRATIVOS (FIJOS)</t>
  </si>
  <si>
    <t>COSTOS FIJOS</t>
  </si>
  <si>
    <t>Garaje</t>
  </si>
  <si>
    <t>Resp. C. Contr. y E. Contr.</t>
  </si>
  <si>
    <t>SOAT</t>
  </si>
  <si>
    <t>Administración</t>
  </si>
  <si>
    <t>Servicios del Gobierno</t>
  </si>
  <si>
    <t>TOTAL COSTOS FIJOS</t>
  </si>
  <si>
    <t>COSTOS CAPITAL</t>
  </si>
  <si>
    <t>COSTOS DE CAPITAL</t>
  </si>
  <si>
    <t>Rentabilidad</t>
  </si>
  <si>
    <t>Recup. de Capital</t>
  </si>
  <si>
    <t>TOTAL COSTOS CAPITAL</t>
  </si>
  <si>
    <t>TARIFA ACTUAL</t>
  </si>
  <si>
    <t>Vida Util</t>
  </si>
  <si>
    <t>Valor de salvamento</t>
  </si>
  <si>
    <t>FET ACUMULADO</t>
  </si>
  <si>
    <t>FACTOR CALIDAD ACUMULADO</t>
  </si>
  <si>
    <t>% Incremento</t>
  </si>
  <si>
    <t>TARIFA ADOPTADA</t>
  </si>
  <si>
    <t>Valor tarifa actual</t>
  </si>
  <si>
    <t>Tarifa por día</t>
  </si>
  <si>
    <t>Ordinario</t>
  </si>
  <si>
    <t>Sabados</t>
  </si>
  <si>
    <t>Domingos</t>
  </si>
  <si>
    <t>días</t>
  </si>
  <si>
    <t>FE</t>
  </si>
  <si>
    <t>tarifa por día</t>
  </si>
  <si>
    <t>Ponderado</t>
  </si>
  <si>
    <t>TARIFA TÉCNICA</t>
  </si>
  <si>
    <t>Santa Marta</t>
  </si>
  <si>
    <t>2015 y Posteriores</t>
  </si>
  <si>
    <t>Demanda día</t>
  </si>
  <si>
    <t>Flota total</t>
  </si>
  <si>
    <t>Criterios</t>
  </si>
  <si>
    <t>#días</t>
  </si>
  <si>
    <t>Pax Vendido</t>
  </si>
  <si>
    <t>Factor día/año</t>
  </si>
  <si>
    <t>Factor día/mes</t>
  </si>
  <si>
    <t>Hábiles</t>
  </si>
  <si>
    <t>Sábados</t>
  </si>
  <si>
    <t>Festivos</t>
  </si>
  <si>
    <t>Total días/año</t>
  </si>
  <si>
    <t>Aceite diferencial</t>
  </si>
  <si>
    <t>Aceite transmisión</t>
  </si>
  <si>
    <t>Aceite hidráulico</t>
  </si>
  <si>
    <t>Refrigerante</t>
  </si>
  <si>
    <t>Embrague</t>
  </si>
  <si>
    <t>Pastillas de frenos</t>
  </si>
  <si>
    <t>Alineación y balnaceo</t>
  </si>
  <si>
    <t>Motor (Chasís)</t>
  </si>
  <si>
    <t>Caja, Diferencial (Chasís)</t>
  </si>
  <si>
    <t>Frenos, Dirección (Chasís)</t>
  </si>
  <si>
    <t>Electricidad (Chasís)</t>
  </si>
  <si>
    <t>Neumático, Suspensión (Chasís)</t>
  </si>
  <si>
    <t>Puertas (Carrocería)</t>
  </si>
  <si>
    <t>Ruteros y luces internas (Carrocería)</t>
  </si>
  <si>
    <t>Imprevistos</t>
  </si>
  <si>
    <t>Recargos y H.E.</t>
  </si>
  <si>
    <t>Variable</t>
  </si>
  <si>
    <t>Poliza Patios y talleres</t>
  </si>
  <si>
    <t>Todo Riesgo</t>
  </si>
  <si>
    <t>TOTAL COSTOS OPERACIÓN</t>
  </si>
  <si>
    <t>TARIFA PROPUESTA 2021</t>
  </si>
  <si>
    <t>Impuestos</t>
  </si>
  <si>
    <t>CD</t>
  </si>
  <si>
    <t>PRECIO REFERENCIA DEL VEHÍCULO</t>
  </si>
  <si>
    <t>Kit de Filtros</t>
  </si>
  <si>
    <t>Rotación de llantas</t>
  </si>
  <si>
    <t>Lavado general</t>
  </si>
  <si>
    <t>Lavado Chasís</t>
  </si>
  <si>
    <t>Polichado y desmanche</t>
  </si>
  <si>
    <t>Grasa</t>
  </si>
  <si>
    <t>Líquido de freno</t>
  </si>
  <si>
    <t>Limpiador de frenos</t>
  </si>
  <si>
    <t>Mtto rutina complementaria</t>
  </si>
  <si>
    <t>Latonería y pintura</t>
  </si>
  <si>
    <t>Partes eléctricas</t>
  </si>
  <si>
    <t>Partes mecánicas</t>
  </si>
  <si>
    <t>Motor</t>
  </si>
  <si>
    <t>Transmisión</t>
  </si>
  <si>
    <t>TARIFA PROPUESTA</t>
  </si>
  <si>
    <t>INCREMENTO DE TARIFA ADOPTADO 2022</t>
  </si>
  <si>
    <t>Revisión tecno-mecánica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</si>
</sst>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0.000"/>
    <numFmt numFmtId="168" formatCode="_(&quot;$&quot;* #,##0.00_);_(&quot;$&quot;* \(#,##0.00\);_(&quot;$&quot;* &quot;-&quot;??_);_(@_)"/>
    <numFmt numFmtId="169" formatCode="_(* #,##0.000_);_(* \(#,##0.000\);_(* &quot;-&quot;??_);_(@_)"/>
    <numFmt numFmtId="170" formatCode="0.000%"/>
    <numFmt numFmtId="171" formatCode="0.0"/>
    <numFmt numFmtId="172" formatCode="&quot;$&quot;#,##0"/>
    <numFmt numFmtId="173" formatCode="_(&quot;$&quot;* #,##0_);_(&quot;$&quot;* \(#,##0\);_(&quot;$&quot;* &quot;-&quot;??_);_(@_)"/>
    <numFmt numFmtId="174" formatCode="_(&quot;$&quot;* #,##0_);_(&quot;$&quot;* \(#,##0\);_(&quot;$&quot;* &quot;-&quot;?_);_(@_)"/>
    <numFmt numFmtId="175" formatCode="_(&quot;$&quot;* #,##0.0_);_(&quot;$&quot;* \(#,##0.0\);_(&quot;$&quot;* &quot;-&quot;??_);_(@_)"/>
    <numFmt numFmtId="176" formatCode="0.0000%"/>
    <numFmt numFmtId="177" formatCode="0.00000%"/>
    <numFmt numFmtId="178" formatCode="_(&quot;$&quot;\ * #,##0_);_(&quot;$&quot;\ * \(#,##0\);_(&quot;$&quot;\ * &quot;-&quot;??_);_(@_)"/>
    <numFmt numFmtId="179" formatCode="0\ &quot;años&quot;"/>
    <numFmt numFmtId="180" formatCode="_(&quot;$&quot;\ * #,##0.0000_);_(&quot;$&quot;\ * \(#,##0.0000\);_(&quot;$&quot;\ * &quot;-&quot;??_);_(@_)"/>
  </numFmts>
  <fonts count="5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sz val="10"/>
      <color indexed="48"/>
      <name val="Verdana"/>
      <family val="2"/>
    </font>
    <font>
      <i/>
      <sz val="10"/>
      <name val="Tahoma"/>
      <family val="2"/>
    </font>
    <font>
      <sz val="10"/>
      <color indexed="48"/>
      <name val="Verdana"/>
      <family val="2"/>
    </font>
    <font>
      <b/>
      <sz val="14"/>
      <color indexed="9"/>
      <name val="Verdana"/>
      <family val="2"/>
    </font>
    <font>
      <b/>
      <sz val="10"/>
      <color rgb="FFFF0000"/>
      <name val="Verdana"/>
      <family val="2"/>
    </font>
    <font>
      <u/>
      <sz val="10"/>
      <color theme="10"/>
      <name val="Verdana"/>
      <family val="2"/>
    </font>
    <font>
      <sz val="14"/>
      <color indexed="10"/>
      <name val="Times"/>
      <family val="1"/>
    </font>
    <font>
      <sz val="14"/>
      <color indexed="10"/>
      <name val="Geneva"/>
      <family val="2"/>
    </font>
    <font>
      <sz val="12"/>
      <name val="Times"/>
      <family val="1"/>
    </font>
    <font>
      <b/>
      <sz val="12"/>
      <name val="Times"/>
      <family val="1"/>
    </font>
    <font>
      <i/>
      <sz val="12"/>
      <name val="Times"/>
      <family val="1"/>
    </font>
    <font>
      <b/>
      <i/>
      <sz val="12"/>
      <name val="Times"/>
      <family val="1"/>
    </font>
    <font>
      <b/>
      <sz val="9"/>
      <color indexed="81"/>
      <name val="Geneva"/>
      <family val="2"/>
    </font>
    <font>
      <sz val="9"/>
      <color indexed="81"/>
      <name val="Genev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336699"/>
      <name val="Arial"/>
      <family val="2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1"/>
      <name val="Verdana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0432FF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CADADF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CCCC99"/>
      </right>
      <top/>
      <bottom style="medium">
        <color rgb="FFCCCC99"/>
      </bottom>
      <diagonal/>
    </border>
    <border>
      <left/>
      <right style="medium">
        <color rgb="FFF1EBD0"/>
      </right>
      <top/>
      <bottom style="medium">
        <color rgb="FFF1EBD0"/>
      </bottom>
      <diagonal/>
    </border>
    <border>
      <left/>
      <right style="medium">
        <color rgb="FFF1EBD0"/>
      </right>
      <top/>
      <bottom style="medium">
        <color rgb="FFCCCC99"/>
      </bottom>
      <diagonal/>
    </border>
    <border>
      <left/>
      <right style="medium">
        <color rgb="FFF1EBD0"/>
      </right>
      <top style="medium">
        <color rgb="FFCCCC99"/>
      </top>
      <bottom/>
      <diagonal/>
    </border>
    <border>
      <left style="medium">
        <color rgb="FFF1EBD0"/>
      </left>
      <right style="medium">
        <color rgb="FFCCCC99"/>
      </right>
      <top style="medium">
        <color rgb="FFCCCC99"/>
      </top>
      <bottom/>
      <diagonal/>
    </border>
    <border>
      <left style="medium">
        <color rgb="FFF1EBD0"/>
      </left>
      <right style="medium">
        <color rgb="FFCCCC99"/>
      </right>
      <top/>
      <bottom style="medium">
        <color rgb="FFF1EBD0"/>
      </bottom>
      <diagonal/>
    </border>
    <border>
      <left style="medium">
        <color rgb="FFCCCC99"/>
      </left>
      <right style="medium">
        <color rgb="FFCCCC99"/>
      </right>
      <top style="medium">
        <color rgb="FFCCCC99"/>
      </top>
      <bottom/>
      <diagonal/>
    </border>
    <border>
      <left style="medium">
        <color rgb="FFCCCC99"/>
      </left>
      <right style="medium">
        <color rgb="FFCCCC99"/>
      </right>
      <top/>
      <bottom style="medium">
        <color rgb="FFCCCC99"/>
      </bottom>
      <diagonal/>
    </border>
    <border>
      <left style="medium">
        <color rgb="FFCCCC99"/>
      </left>
      <right style="medium">
        <color rgb="FFCCCC99"/>
      </right>
      <top/>
      <bottom/>
      <diagonal/>
    </border>
    <border>
      <left/>
      <right style="medium">
        <color rgb="FFF1EBD0"/>
      </right>
      <top style="medium">
        <color rgb="FFF1EBD0"/>
      </top>
      <bottom/>
      <diagonal/>
    </border>
    <border>
      <left style="medium">
        <color rgb="FFF1EBD0"/>
      </left>
      <right style="medium">
        <color rgb="FFCCCC99"/>
      </right>
      <top style="medium">
        <color rgb="FFF1EBD0"/>
      </top>
      <bottom/>
      <diagonal/>
    </border>
    <border>
      <left style="medium">
        <color rgb="FFF1EBD0"/>
      </left>
      <right style="medium">
        <color rgb="FFCCCC99"/>
      </right>
      <top/>
      <bottom style="medium">
        <color rgb="FFCCCC9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12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5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/>
  </cellStyleXfs>
  <cellXfs count="403">
    <xf numFmtId="0" fontId="0" fillId="0" borderId="0" xfId="0"/>
    <xf numFmtId="0" fontId="10" fillId="3" borderId="7" xfId="1" applyFont="1" applyFill="1" applyBorder="1" applyAlignment="1">
      <alignment horizontal="centerContinuous"/>
    </xf>
    <xf numFmtId="0" fontId="10" fillId="3" borderId="8" xfId="1" applyFont="1" applyFill="1" applyBorder="1" applyAlignment="1">
      <alignment horizontal="centerContinuous"/>
    </xf>
    <xf numFmtId="0" fontId="8" fillId="0" borderId="0" xfId="1" applyFont="1"/>
    <xf numFmtId="0" fontId="10" fillId="0" borderId="0" xfId="1" applyFont="1" applyAlignment="1">
      <alignment horizontal="center"/>
    </xf>
    <xf numFmtId="10" fontId="8" fillId="0" borderId="0" xfId="1" applyNumberFormat="1" applyFont="1"/>
    <xf numFmtId="0" fontId="9" fillId="4" borderId="2" xfId="1" applyFont="1" applyFill="1" applyBorder="1"/>
    <xf numFmtId="10" fontId="9" fillId="4" borderId="2" xfId="2" applyNumberFormat="1" applyFont="1" applyFill="1" applyBorder="1"/>
    <xf numFmtId="0" fontId="10" fillId="0" borderId="0" xfId="1" applyFont="1" applyFill="1"/>
    <xf numFmtId="0" fontId="9" fillId="5" borderId="2" xfId="1" applyFont="1" applyFill="1" applyBorder="1"/>
    <xf numFmtId="0" fontId="9" fillId="2" borderId="2" xfId="1" applyFont="1" applyFill="1" applyBorder="1" applyAlignment="1"/>
    <xf numFmtId="10" fontId="9" fillId="2" borderId="2" xfId="1" applyNumberFormat="1" applyFont="1" applyFill="1" applyBorder="1" applyAlignment="1"/>
    <xf numFmtId="167" fontId="11" fillId="0" borderId="0" xfId="1" applyNumberFormat="1" applyFont="1"/>
    <xf numFmtId="167" fontId="8" fillId="0" borderId="0" xfId="1" applyNumberFormat="1" applyFont="1"/>
    <xf numFmtId="0" fontId="10" fillId="0" borderId="0" xfId="1" applyFont="1"/>
    <xf numFmtId="10" fontId="9" fillId="5" borderId="2" xfId="2" applyNumberFormat="1" applyFont="1" applyFill="1" applyBorder="1"/>
    <xf numFmtId="0" fontId="10" fillId="0" borderId="0" xfId="0" applyFont="1" applyAlignment="1">
      <alignment horizontal="center"/>
    </xf>
    <xf numFmtId="10" fontId="11" fillId="0" borderId="0" xfId="1" applyNumberFormat="1" applyFont="1" applyAlignment="1">
      <alignment horizontal="center"/>
    </xf>
    <xf numFmtId="167" fontId="11" fillId="0" borderId="0" xfId="1" applyNumberFormat="1" applyFont="1" applyAlignment="1">
      <alignment horizontal="center"/>
    </xf>
    <xf numFmtId="10" fontId="11" fillId="0" borderId="0" xfId="2" applyNumberFormat="1" applyFont="1" applyAlignment="1">
      <alignment horizontal="center"/>
    </xf>
    <xf numFmtId="10" fontId="8" fillId="0" borderId="0" xfId="2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10" fontId="0" fillId="0" borderId="0" xfId="0" applyNumberFormat="1"/>
    <xf numFmtId="10" fontId="0" fillId="0" borderId="13" xfId="0" applyNumberFormat="1" applyBorder="1"/>
    <xf numFmtId="10" fontId="0" fillId="0" borderId="14" xfId="0" applyNumberFormat="1" applyBorder="1"/>
    <xf numFmtId="10" fontId="0" fillId="0" borderId="0" xfId="2" applyNumberFormat="1" applyFont="1"/>
    <xf numFmtId="10" fontId="13" fillId="0" borderId="1" xfId="0" applyNumberFormat="1" applyFont="1" applyBorder="1" applyAlignment="1">
      <alignment horizontal="center"/>
    </xf>
    <xf numFmtId="10" fontId="13" fillId="0" borderId="15" xfId="0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166" fontId="13" fillId="0" borderId="16" xfId="2" applyNumberFormat="1" applyFont="1" applyBorder="1" applyAlignment="1">
      <alignment horizontal="center"/>
    </xf>
    <xf numFmtId="166" fontId="13" fillId="0" borderId="17" xfId="2" applyNumberFormat="1" applyFont="1" applyBorder="1" applyAlignment="1">
      <alignment horizontal="center"/>
    </xf>
    <xf numFmtId="166" fontId="13" fillId="0" borderId="18" xfId="2" applyNumberFormat="1" applyFont="1" applyBorder="1" applyAlignment="1">
      <alignment horizontal="center"/>
    </xf>
    <xf numFmtId="10" fontId="13" fillId="0" borderId="19" xfId="0" applyNumberFormat="1" applyFont="1" applyBorder="1" applyAlignment="1">
      <alignment horizontal="center"/>
    </xf>
    <xf numFmtId="10" fontId="0" fillId="0" borderId="20" xfId="0" applyNumberFormat="1" applyBorder="1"/>
    <xf numFmtId="0" fontId="8" fillId="0" borderId="0" xfId="2" applyNumberFormat="1" applyFont="1" applyFill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9" fillId="6" borderId="21" xfId="0" applyFont="1" applyFill="1" applyBorder="1" applyAlignment="1">
      <alignment horizontal="centerContinuous"/>
    </xf>
    <xf numFmtId="0" fontId="9" fillId="6" borderId="22" xfId="0" applyFont="1" applyFill="1" applyBorder="1" applyAlignment="1">
      <alignment horizontal="centerContinuous"/>
    </xf>
    <xf numFmtId="0" fontId="9" fillId="6" borderId="23" xfId="0" applyFont="1" applyFill="1" applyBorder="1" applyAlignment="1">
      <alignment horizontal="centerContinuous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Continuous"/>
    </xf>
    <xf numFmtId="10" fontId="15" fillId="7" borderId="1" xfId="0" applyNumberFormat="1" applyFont="1" applyFill="1" applyBorder="1" applyAlignment="1">
      <alignment horizontal="center"/>
    </xf>
    <xf numFmtId="0" fontId="16" fillId="0" borderId="0" xfId="4" applyAlignment="1" applyProtection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9" borderId="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10" fontId="19" fillId="10" borderId="24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centerContinuous"/>
    </xf>
    <xf numFmtId="0" fontId="20" fillId="0" borderId="8" xfId="0" applyFont="1" applyBorder="1" applyAlignment="1">
      <alignment horizontal="centerContinuous"/>
    </xf>
    <xf numFmtId="0" fontId="20" fillId="0" borderId="9" xfId="0" applyFont="1" applyBorder="1" applyAlignment="1">
      <alignment horizontal="centerContinuous"/>
    </xf>
    <xf numFmtId="0" fontId="21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168" fontId="19" fillId="0" borderId="1" xfId="3" applyNumberFormat="1" applyFont="1" applyBorder="1"/>
    <xf numFmtId="10" fontId="19" fillId="0" borderId="0" xfId="0" applyNumberFormat="1" applyFont="1"/>
    <xf numFmtId="10" fontId="19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0" fontId="19" fillId="0" borderId="1" xfId="0" applyNumberFormat="1" applyFont="1" applyBorder="1"/>
    <xf numFmtId="0" fontId="22" fillId="0" borderId="0" xfId="0" applyFont="1"/>
    <xf numFmtId="0" fontId="20" fillId="0" borderId="0" xfId="0" applyFont="1"/>
    <xf numFmtId="10" fontId="19" fillId="0" borderId="1" xfId="2" applyNumberFormat="1" applyFont="1" applyBorder="1" applyAlignment="1">
      <alignment horizontal="center"/>
    </xf>
    <xf numFmtId="0" fontId="6" fillId="0" borderId="0" xfId="1" applyFont="1"/>
    <xf numFmtId="0" fontId="27" fillId="11" borderId="25" xfId="0" applyFont="1" applyFill="1" applyBorder="1" applyAlignment="1">
      <alignment horizontal="right" vertical="center"/>
    </xf>
    <xf numFmtId="0" fontId="30" fillId="0" borderId="1" xfId="0" applyFont="1" applyBorder="1"/>
    <xf numFmtId="0" fontId="30" fillId="0" borderId="1" xfId="0" applyFont="1" applyBorder="1" applyAlignment="1">
      <alignment horizontal="center"/>
    </xf>
    <xf numFmtId="2" fontId="30" fillId="0" borderId="1" xfId="0" applyNumberFormat="1" applyFont="1" applyBorder="1" applyAlignment="1">
      <alignment horizontal="center"/>
    </xf>
    <xf numFmtId="0" fontId="31" fillId="0" borderId="0" xfId="0" applyFont="1"/>
    <xf numFmtId="0" fontId="31" fillId="0" borderId="1" xfId="0" applyFont="1" applyBorder="1"/>
    <xf numFmtId="0" fontId="32" fillId="0" borderId="0" xfId="0" applyFont="1"/>
    <xf numFmtId="0" fontId="32" fillId="0" borderId="1" xfId="0" applyFont="1" applyBorder="1"/>
    <xf numFmtId="0" fontId="32" fillId="0" borderId="1" xfId="0" applyFont="1" applyBorder="1" applyAlignment="1">
      <alignment horizontal="center"/>
    </xf>
    <xf numFmtId="2" fontId="32" fillId="0" borderId="1" xfId="0" applyNumberFormat="1" applyFont="1" applyBorder="1" applyAlignment="1">
      <alignment horizontal="center"/>
    </xf>
    <xf numFmtId="10" fontId="32" fillId="0" borderId="1" xfId="0" applyNumberFormat="1" applyFont="1" applyBorder="1" applyAlignment="1">
      <alignment horizontal="center"/>
    </xf>
    <xf numFmtId="0" fontId="32" fillId="0" borderId="37" xfId="0" applyFont="1" applyBorder="1"/>
    <xf numFmtId="0" fontId="32" fillId="0" borderId="37" xfId="0" applyFont="1" applyBorder="1" applyAlignment="1">
      <alignment horizontal="center"/>
    </xf>
    <xf numFmtId="2" fontId="32" fillId="0" borderId="37" xfId="0" applyNumberFormat="1" applyFont="1" applyBorder="1" applyAlignment="1">
      <alignment horizontal="center"/>
    </xf>
    <xf numFmtId="10" fontId="32" fillId="0" borderId="37" xfId="0" applyNumberFormat="1" applyFont="1" applyBorder="1" applyAlignment="1">
      <alignment horizontal="center"/>
    </xf>
    <xf numFmtId="0" fontId="32" fillId="0" borderId="1" xfId="0" applyFont="1" applyFill="1" applyBorder="1"/>
    <xf numFmtId="10" fontId="32" fillId="0" borderId="1" xfId="0" applyNumberFormat="1" applyFont="1" applyFill="1" applyBorder="1" applyAlignment="1">
      <alignment horizontal="center"/>
    </xf>
    <xf numFmtId="10" fontId="32" fillId="8" borderId="1" xfId="0" applyNumberFormat="1" applyFont="1" applyFill="1" applyBorder="1" applyAlignment="1">
      <alignment horizontal="center"/>
    </xf>
    <xf numFmtId="2" fontId="32" fillId="8" borderId="1" xfId="0" applyNumberFormat="1" applyFont="1" applyFill="1" applyBorder="1" applyAlignment="1">
      <alignment horizontal="center"/>
    </xf>
    <xf numFmtId="0" fontId="32" fillId="0" borderId="19" xfId="0" applyFont="1" applyBorder="1"/>
    <xf numFmtId="0" fontId="32" fillId="0" borderId="19" xfId="0" applyFont="1" applyBorder="1" applyAlignment="1">
      <alignment horizontal="center"/>
    </xf>
    <xf numFmtId="2" fontId="32" fillId="0" borderId="19" xfId="0" applyNumberFormat="1" applyFont="1" applyBorder="1" applyAlignment="1">
      <alignment horizontal="center"/>
    </xf>
    <xf numFmtId="10" fontId="32" fillId="0" borderId="19" xfId="0" applyNumberFormat="1" applyFont="1" applyBorder="1" applyAlignment="1">
      <alignment horizontal="center"/>
    </xf>
    <xf numFmtId="9" fontId="8" fillId="0" borderId="0" xfId="1" applyNumberFormat="1" applyFont="1"/>
    <xf numFmtId="170" fontId="8" fillId="0" borderId="0" xfId="2" applyNumberFormat="1" applyFont="1"/>
    <xf numFmtId="0" fontId="5" fillId="14" borderId="0" xfId="6" applyFill="1"/>
    <xf numFmtId="0" fontId="5" fillId="14" borderId="0" xfId="6" applyFill="1" applyAlignment="1">
      <alignment horizontal="center"/>
    </xf>
    <xf numFmtId="0" fontId="5" fillId="14" borderId="1" xfId="6" applyFill="1" applyBorder="1" applyAlignment="1">
      <alignment horizontal="center"/>
    </xf>
    <xf numFmtId="0" fontId="26" fillId="14" borderId="1" xfId="6" applyFont="1" applyFill="1" applyBorder="1" applyAlignment="1">
      <alignment horizontal="center"/>
    </xf>
    <xf numFmtId="171" fontId="5" fillId="14" borderId="1" xfId="6" applyNumberFormat="1" applyFill="1" applyBorder="1" applyAlignment="1">
      <alignment horizontal="center"/>
    </xf>
    <xf numFmtId="1" fontId="26" fillId="14" borderId="1" xfId="6" applyNumberFormat="1" applyFont="1" applyFill="1" applyBorder="1" applyAlignment="1">
      <alignment horizontal="center"/>
    </xf>
    <xf numFmtId="2" fontId="5" fillId="14" borderId="1" xfId="6" applyNumberFormat="1" applyFill="1" applyBorder="1" applyAlignment="1">
      <alignment horizontal="center"/>
    </xf>
    <xf numFmtId="1" fontId="38" fillId="14" borderId="1" xfId="6" applyNumberFormat="1" applyFont="1" applyFill="1" applyBorder="1" applyAlignment="1">
      <alignment horizontal="center"/>
    </xf>
    <xf numFmtId="0" fontId="5" fillId="14" borderId="0" xfId="6" applyFill="1" applyBorder="1"/>
    <xf numFmtId="1" fontId="26" fillId="14" borderId="0" xfId="6" applyNumberFormat="1" applyFont="1" applyFill="1" applyBorder="1" applyAlignment="1">
      <alignment horizontal="center"/>
    </xf>
    <xf numFmtId="0" fontId="5" fillId="14" borderId="37" xfId="6" applyFill="1" applyBorder="1" applyAlignment="1">
      <alignment horizontal="center"/>
    </xf>
    <xf numFmtId="0" fontId="5" fillId="14" borderId="0" xfId="6" applyFill="1" applyBorder="1" applyAlignment="1">
      <alignment horizontal="center" vertical="center"/>
    </xf>
    <xf numFmtId="0" fontId="5" fillId="14" borderId="40" xfId="6" applyFill="1" applyBorder="1" applyAlignment="1">
      <alignment horizontal="center"/>
    </xf>
    <xf numFmtId="0" fontId="5" fillId="14" borderId="19" xfId="6" applyFill="1" applyBorder="1" applyAlignment="1">
      <alignment horizontal="center"/>
    </xf>
    <xf numFmtId="0" fontId="33" fillId="14" borderId="0" xfId="6" applyFont="1" applyFill="1" applyBorder="1" applyAlignment="1">
      <alignment vertical="center"/>
    </xf>
    <xf numFmtId="173" fontId="0" fillId="14" borderId="1" xfId="9" applyNumberFormat="1" applyFont="1" applyFill="1" applyBorder="1"/>
    <xf numFmtId="168" fontId="0" fillId="14" borderId="1" xfId="9" applyFont="1" applyFill="1" applyBorder="1"/>
    <xf numFmtId="10" fontId="0" fillId="14" borderId="1" xfId="7" applyNumberFormat="1" applyFont="1" applyFill="1" applyBorder="1"/>
    <xf numFmtId="175" fontId="0" fillId="14" borderId="1" xfId="9" applyNumberFormat="1" applyFont="1" applyFill="1" applyBorder="1"/>
    <xf numFmtId="0" fontId="5" fillId="14" borderId="38" xfId="6" applyFill="1" applyBorder="1"/>
    <xf numFmtId="0" fontId="5" fillId="14" borderId="39" xfId="6" applyFill="1" applyBorder="1"/>
    <xf numFmtId="0" fontId="5" fillId="14" borderId="39" xfId="6" applyFill="1" applyBorder="1" applyAlignment="1">
      <alignment horizontal="center"/>
    </xf>
    <xf numFmtId="1" fontId="5" fillId="14" borderId="39" xfId="6" applyNumberFormat="1" applyFill="1" applyBorder="1" applyAlignment="1">
      <alignment horizontal="center"/>
    </xf>
    <xf numFmtId="173" fontId="0" fillId="14" borderId="37" xfId="9" applyNumberFormat="1" applyFont="1" applyFill="1" applyBorder="1"/>
    <xf numFmtId="168" fontId="5" fillId="14" borderId="37" xfId="6" applyNumberFormat="1" applyFill="1" applyBorder="1"/>
    <xf numFmtId="173" fontId="5" fillId="14" borderId="37" xfId="6" applyNumberFormat="1" applyFill="1" applyBorder="1"/>
    <xf numFmtId="0" fontId="5" fillId="14" borderId="3" xfId="6" applyFill="1" applyBorder="1"/>
    <xf numFmtId="0" fontId="5" fillId="14" borderId="4" xfId="6" applyFill="1" applyBorder="1"/>
    <xf numFmtId="0" fontId="5" fillId="14" borderId="4" xfId="6" applyFill="1" applyBorder="1" applyAlignment="1">
      <alignment horizontal="center"/>
    </xf>
    <xf numFmtId="1" fontId="5" fillId="14" borderId="4" xfId="6" applyNumberFormat="1" applyFill="1" applyBorder="1" applyAlignment="1">
      <alignment horizontal="center"/>
    </xf>
    <xf numFmtId="173" fontId="0" fillId="14" borderId="40" xfId="9" applyNumberFormat="1" applyFont="1" applyFill="1" applyBorder="1"/>
    <xf numFmtId="168" fontId="5" fillId="14" borderId="40" xfId="6" applyNumberFormat="1" applyFill="1" applyBorder="1"/>
    <xf numFmtId="173" fontId="5" fillId="14" borderId="40" xfId="6" applyNumberFormat="1" applyFill="1" applyBorder="1"/>
    <xf numFmtId="0" fontId="5" fillId="14" borderId="41" xfId="6" applyFill="1" applyBorder="1"/>
    <xf numFmtId="0" fontId="5" fillId="14" borderId="42" xfId="6" applyFill="1" applyBorder="1"/>
    <xf numFmtId="0" fontId="5" fillId="14" borderId="42" xfId="6" applyFill="1" applyBorder="1" applyAlignment="1">
      <alignment horizontal="center"/>
    </xf>
    <xf numFmtId="1" fontId="5" fillId="14" borderId="42" xfId="6" applyNumberFormat="1" applyFill="1" applyBorder="1" applyAlignment="1">
      <alignment horizontal="center"/>
    </xf>
    <xf numFmtId="173" fontId="0" fillId="14" borderId="19" xfId="9" applyNumberFormat="1" applyFont="1" applyFill="1" applyBorder="1"/>
    <xf numFmtId="168" fontId="5" fillId="14" borderId="19" xfId="6" applyNumberFormat="1" applyFill="1" applyBorder="1"/>
    <xf numFmtId="173" fontId="5" fillId="14" borderId="19" xfId="6" applyNumberFormat="1" applyFill="1" applyBorder="1"/>
    <xf numFmtId="10" fontId="0" fillId="14" borderId="11" xfId="7" applyNumberFormat="1" applyFont="1" applyFill="1" applyBorder="1"/>
    <xf numFmtId="172" fontId="5" fillId="14" borderId="0" xfId="6" applyNumberFormat="1" applyFill="1"/>
    <xf numFmtId="168" fontId="34" fillId="14" borderId="1" xfId="9" applyFont="1" applyFill="1" applyBorder="1" applyAlignment="1">
      <alignment horizontal="center"/>
    </xf>
    <xf numFmtId="173" fontId="34" fillId="14" borderId="1" xfId="9" applyNumberFormat="1" applyFont="1" applyFill="1" applyBorder="1" applyAlignment="1">
      <alignment horizontal="center"/>
    </xf>
    <xf numFmtId="166" fontId="34" fillId="14" borderId="1" xfId="7" applyNumberFormat="1" applyFont="1" applyFill="1" applyBorder="1" applyAlignment="1">
      <alignment horizontal="center"/>
    </xf>
    <xf numFmtId="9" fontId="0" fillId="14" borderId="0" xfId="7" applyFont="1" applyFill="1"/>
    <xf numFmtId="9" fontId="0" fillId="14" borderId="1" xfId="7" applyFont="1" applyFill="1" applyBorder="1"/>
    <xf numFmtId="0" fontId="37" fillId="14" borderId="38" xfId="6" applyFont="1" applyFill="1" applyBorder="1"/>
    <xf numFmtId="0" fontId="37" fillId="14" borderId="39" xfId="6" applyFont="1" applyFill="1" applyBorder="1"/>
    <xf numFmtId="0" fontId="37" fillId="14" borderId="39" xfId="6" applyFont="1" applyFill="1" applyBorder="1" applyAlignment="1">
      <alignment horizontal="center"/>
    </xf>
    <xf numFmtId="1" fontId="37" fillId="14" borderId="39" xfId="6" applyNumberFormat="1" applyFont="1" applyFill="1" applyBorder="1" applyAlignment="1">
      <alignment horizontal="center"/>
    </xf>
    <xf numFmtId="0" fontId="37" fillId="14" borderId="0" xfId="6" applyFont="1" applyFill="1"/>
    <xf numFmtId="173" fontId="6" fillId="14" borderId="37" xfId="9" applyNumberFormat="1" applyFont="1" applyFill="1" applyBorder="1"/>
    <xf numFmtId="168" fontId="37" fillId="14" borderId="37" xfId="6" applyNumberFormat="1" applyFont="1" applyFill="1" applyBorder="1"/>
    <xf numFmtId="173" fontId="37" fillId="14" borderId="37" xfId="6" applyNumberFormat="1" applyFont="1" applyFill="1" applyBorder="1"/>
    <xf numFmtId="0" fontId="37" fillId="14" borderId="0" xfId="6" applyFont="1" applyFill="1" applyBorder="1"/>
    <xf numFmtId="0" fontId="37" fillId="14" borderId="3" xfId="6" applyFont="1" applyFill="1" applyBorder="1"/>
    <xf numFmtId="0" fontId="37" fillId="14" borderId="4" xfId="6" applyFont="1" applyFill="1" applyBorder="1"/>
    <xf numFmtId="0" fontId="37" fillId="14" borderId="4" xfId="6" applyFont="1" applyFill="1" applyBorder="1" applyAlignment="1">
      <alignment horizontal="center"/>
    </xf>
    <xf numFmtId="1" fontId="37" fillId="14" borderId="4" xfId="6" applyNumberFormat="1" applyFont="1" applyFill="1" applyBorder="1" applyAlignment="1">
      <alignment horizontal="center"/>
    </xf>
    <xf numFmtId="173" fontId="37" fillId="14" borderId="40" xfId="9" applyNumberFormat="1" applyFont="1" applyFill="1" applyBorder="1"/>
    <xf numFmtId="168" fontId="37" fillId="14" borderId="40" xfId="6" applyNumberFormat="1" applyFont="1" applyFill="1" applyBorder="1"/>
    <xf numFmtId="173" fontId="37" fillId="14" borderId="40" xfId="6" applyNumberFormat="1" applyFont="1" applyFill="1" applyBorder="1"/>
    <xf numFmtId="173" fontId="6" fillId="14" borderId="40" xfId="9" applyNumberFormat="1" applyFont="1" applyFill="1" applyBorder="1"/>
    <xf numFmtId="0" fontId="37" fillId="14" borderId="41" xfId="6" applyFont="1" applyFill="1" applyBorder="1"/>
    <xf numFmtId="0" fontId="37" fillId="14" borderId="42" xfId="6" applyFont="1" applyFill="1" applyBorder="1"/>
    <xf numFmtId="0" fontId="37" fillId="14" borderId="42" xfId="6" applyFont="1" applyFill="1" applyBorder="1" applyAlignment="1">
      <alignment horizontal="center"/>
    </xf>
    <xf numFmtId="1" fontId="37" fillId="14" borderId="42" xfId="6" applyNumberFormat="1" applyFont="1" applyFill="1" applyBorder="1" applyAlignment="1">
      <alignment horizontal="center"/>
    </xf>
    <xf numFmtId="173" fontId="37" fillId="14" borderId="19" xfId="9" applyNumberFormat="1" applyFont="1" applyFill="1" applyBorder="1"/>
    <xf numFmtId="168" fontId="37" fillId="14" borderId="19" xfId="6" applyNumberFormat="1" applyFont="1" applyFill="1" applyBorder="1"/>
    <xf numFmtId="173" fontId="37" fillId="14" borderId="19" xfId="6" applyNumberFormat="1" applyFont="1" applyFill="1" applyBorder="1"/>
    <xf numFmtId="0" fontId="37" fillId="14" borderId="0" xfId="6" applyFont="1" applyFill="1" applyBorder="1" applyAlignment="1">
      <alignment horizontal="center"/>
    </xf>
    <xf numFmtId="1" fontId="37" fillId="14" borderId="0" xfId="6" applyNumberFormat="1" applyFont="1" applyFill="1" applyBorder="1" applyAlignment="1">
      <alignment horizontal="center"/>
    </xf>
    <xf numFmtId="173" fontId="6" fillId="14" borderId="0" xfId="9" applyNumberFormat="1" applyFont="1" applyFill="1" applyBorder="1"/>
    <xf numFmtId="168" fontId="37" fillId="14" borderId="0" xfId="6" applyNumberFormat="1" applyFont="1" applyFill="1" applyBorder="1"/>
    <xf numFmtId="173" fontId="37" fillId="14" borderId="0" xfId="6" applyNumberFormat="1" applyFont="1" applyFill="1" applyBorder="1"/>
    <xf numFmtId="168" fontId="40" fillId="14" borderId="1" xfId="9" applyFont="1" applyFill="1" applyBorder="1" applyAlignment="1">
      <alignment horizontal="center"/>
    </xf>
    <xf numFmtId="173" fontId="40" fillId="14" borderId="1" xfId="9" applyNumberFormat="1" applyFont="1" applyFill="1" applyBorder="1" applyAlignment="1">
      <alignment horizontal="center"/>
    </xf>
    <xf numFmtId="166" fontId="40" fillId="14" borderId="1" xfId="7" applyNumberFormat="1" applyFont="1" applyFill="1" applyBorder="1" applyAlignment="1">
      <alignment horizontal="center"/>
    </xf>
    <xf numFmtId="0" fontId="37" fillId="14" borderId="1" xfId="6" applyFont="1" applyFill="1" applyBorder="1" applyAlignment="1">
      <alignment horizontal="center"/>
    </xf>
    <xf numFmtId="173" fontId="6" fillId="14" borderId="1" xfId="9" applyNumberFormat="1" applyFont="1" applyFill="1" applyBorder="1"/>
    <xf numFmtId="175" fontId="6" fillId="14" borderId="1" xfId="9" applyNumberFormat="1" applyFont="1" applyFill="1" applyBorder="1"/>
    <xf numFmtId="173" fontId="6" fillId="14" borderId="19" xfId="9" applyNumberFormat="1" applyFont="1" applyFill="1" applyBorder="1"/>
    <xf numFmtId="0" fontId="34" fillId="14" borderId="0" xfId="6" applyFont="1" applyFill="1" applyBorder="1" applyAlignment="1">
      <alignment horizontal="center"/>
    </xf>
    <xf numFmtId="168" fontId="34" fillId="14" borderId="0" xfId="9" applyFont="1" applyFill="1" applyBorder="1" applyAlignment="1">
      <alignment horizontal="center"/>
    </xf>
    <xf numFmtId="173" fontId="34" fillId="14" borderId="0" xfId="9" applyNumberFormat="1" applyFont="1" applyFill="1" applyBorder="1" applyAlignment="1">
      <alignment horizontal="center"/>
    </xf>
    <xf numFmtId="168" fontId="35" fillId="14" borderId="1" xfId="9" applyFont="1" applyFill="1" applyBorder="1" applyAlignment="1">
      <alignment horizontal="center" vertical="center"/>
    </xf>
    <xf numFmtId="173" fontId="35" fillId="14" borderId="1" xfId="9" applyNumberFormat="1" applyFont="1" applyFill="1" applyBorder="1" applyAlignment="1">
      <alignment horizontal="center" vertical="center"/>
    </xf>
    <xf numFmtId="9" fontId="35" fillId="14" borderId="1" xfId="7" applyFont="1" applyFill="1" applyBorder="1" applyAlignment="1">
      <alignment horizontal="center" vertical="center"/>
    </xf>
    <xf numFmtId="0" fontId="36" fillId="14" borderId="0" xfId="6" applyFont="1" applyFill="1"/>
    <xf numFmtId="0" fontId="35" fillId="14" borderId="0" xfId="6" applyFont="1" applyFill="1" applyBorder="1" applyAlignment="1">
      <alignment horizontal="center" vertical="center"/>
    </xf>
    <xf numFmtId="168" fontId="35" fillId="14" borderId="0" xfId="9" applyFont="1" applyFill="1" applyBorder="1" applyAlignment="1">
      <alignment horizontal="center" vertical="center"/>
    </xf>
    <xf numFmtId="173" fontId="35" fillId="14" borderId="0" xfId="9" applyNumberFormat="1" applyFont="1" applyFill="1" applyBorder="1" applyAlignment="1">
      <alignment horizontal="center" vertical="center"/>
    </xf>
    <xf numFmtId="9" fontId="35" fillId="14" borderId="0" xfId="7" applyFont="1" applyFill="1" applyBorder="1" applyAlignment="1">
      <alignment horizontal="center" vertical="center"/>
    </xf>
    <xf numFmtId="0" fontId="5" fillId="14" borderId="11" xfId="6" applyFill="1" applyBorder="1"/>
    <xf numFmtId="0" fontId="5" fillId="14" borderId="12" xfId="6" applyFill="1" applyBorder="1"/>
    <xf numFmtId="177" fontId="5" fillId="14" borderId="0" xfId="2" applyNumberFormat="1" applyFont="1" applyFill="1" applyBorder="1"/>
    <xf numFmtId="0" fontId="43" fillId="14" borderId="0" xfId="6" applyFont="1" applyFill="1"/>
    <xf numFmtId="1" fontId="5" fillId="14" borderId="0" xfId="6" applyNumberFormat="1" applyFill="1" applyBorder="1"/>
    <xf numFmtId="167" fontId="5" fillId="14" borderId="0" xfId="6" applyNumberFormat="1" applyFill="1"/>
    <xf numFmtId="0" fontId="4" fillId="14" borderId="1" xfId="6" applyFont="1" applyFill="1" applyBorder="1" applyAlignment="1">
      <alignment horizontal="center"/>
    </xf>
    <xf numFmtId="0" fontId="4" fillId="14" borderId="0" xfId="6" applyFont="1" applyFill="1"/>
    <xf numFmtId="171" fontId="4" fillId="14" borderId="1" xfId="6" applyNumberFormat="1" applyFont="1" applyFill="1" applyBorder="1" applyAlignment="1">
      <alignment horizontal="center"/>
    </xf>
    <xf numFmtId="2" fontId="4" fillId="14" borderId="1" xfId="6" applyNumberFormat="1" applyFont="1" applyFill="1" applyBorder="1" applyAlignment="1">
      <alignment horizontal="center"/>
    </xf>
    <xf numFmtId="0" fontId="4" fillId="14" borderId="0" xfId="6" applyFont="1" applyFill="1" applyBorder="1" applyAlignment="1">
      <alignment horizontal="center"/>
    </xf>
    <xf numFmtId="173" fontId="4" fillId="14" borderId="0" xfId="9" applyNumberFormat="1" applyFont="1" applyFill="1" applyBorder="1"/>
    <xf numFmtId="0" fontId="4" fillId="14" borderId="0" xfId="6" applyFont="1" applyFill="1" applyBorder="1"/>
    <xf numFmtId="9" fontId="4" fillId="14" borderId="0" xfId="7" applyFont="1" applyFill="1" applyBorder="1"/>
    <xf numFmtId="10" fontId="4" fillId="14" borderId="0" xfId="7" applyNumberFormat="1" applyFont="1" applyFill="1" applyBorder="1"/>
    <xf numFmtId="174" fontId="4" fillId="14" borderId="0" xfId="6" applyNumberFormat="1" applyFont="1" applyFill="1" applyBorder="1"/>
    <xf numFmtId="175" fontId="4" fillId="14" borderId="0" xfId="9" applyNumberFormat="1" applyFont="1" applyFill="1" applyBorder="1"/>
    <xf numFmtId="168" fontId="4" fillId="14" borderId="0" xfId="6" applyNumberFormat="1" applyFont="1" applyFill="1" applyBorder="1"/>
    <xf numFmtId="173" fontId="4" fillId="14" borderId="0" xfId="6" applyNumberFormat="1" applyFont="1" applyFill="1" applyBorder="1"/>
    <xf numFmtId="9" fontId="34" fillId="14" borderId="0" xfId="7" applyFont="1" applyFill="1" applyBorder="1" applyAlignment="1">
      <alignment horizontal="center"/>
    </xf>
    <xf numFmtId="166" fontId="34" fillId="14" borderId="0" xfId="7" applyNumberFormat="1" applyFont="1" applyFill="1" applyBorder="1" applyAlignment="1">
      <alignment horizontal="center"/>
    </xf>
    <xf numFmtId="172" fontId="4" fillId="14" borderId="0" xfId="6" applyNumberFormat="1" applyFont="1" applyFill="1"/>
    <xf numFmtId="0" fontId="6" fillId="0" borderId="0" xfId="0" applyFont="1"/>
    <xf numFmtId="164" fontId="0" fillId="0" borderId="0" xfId="3" applyFont="1"/>
    <xf numFmtId="0" fontId="0" fillId="0" borderId="0" xfId="0" applyAlignment="1">
      <alignment horizontal="center"/>
    </xf>
    <xf numFmtId="178" fontId="0" fillId="0" borderId="0" xfId="3" applyNumberFormat="1" applyFont="1"/>
    <xf numFmtId="178" fontId="10" fillId="8" borderId="0" xfId="0" applyNumberFormat="1" applyFont="1" applyFill="1"/>
    <xf numFmtId="166" fontId="0" fillId="0" borderId="0" xfId="2" applyNumberFormat="1" applyFont="1"/>
    <xf numFmtId="9" fontId="10" fillId="8" borderId="0" xfId="2" applyFont="1" applyFill="1"/>
    <xf numFmtId="171" fontId="4" fillId="14" borderId="11" xfId="6" applyNumberFormat="1" applyFont="1" applyFill="1" applyBorder="1" applyAlignment="1">
      <alignment horizontal="center"/>
    </xf>
    <xf numFmtId="168" fontId="0" fillId="14" borderId="1" xfId="9" applyNumberFormat="1" applyFont="1" applyFill="1" applyBorder="1"/>
    <xf numFmtId="173" fontId="5" fillId="14" borderId="39" xfId="6" applyNumberFormat="1" applyFill="1" applyBorder="1"/>
    <xf numFmtId="173" fontId="5" fillId="14" borderId="4" xfId="6" applyNumberFormat="1" applyFill="1" applyBorder="1"/>
    <xf numFmtId="173" fontId="5" fillId="14" borderId="42" xfId="6" applyNumberFormat="1" applyFill="1" applyBorder="1"/>
    <xf numFmtId="166" fontId="6" fillId="14" borderId="1" xfId="7" applyNumberFormat="1" applyFont="1" applyFill="1" applyBorder="1"/>
    <xf numFmtId="1" fontId="37" fillId="14" borderId="37" xfId="6" applyNumberFormat="1" applyFont="1" applyFill="1" applyBorder="1" applyAlignment="1">
      <alignment horizontal="center"/>
    </xf>
    <xf numFmtId="1" fontId="37" fillId="14" borderId="19" xfId="6" applyNumberFormat="1" applyFont="1" applyFill="1" applyBorder="1" applyAlignment="1">
      <alignment horizontal="center"/>
    </xf>
    <xf numFmtId="164" fontId="4" fillId="14" borderId="0" xfId="3" applyFont="1" applyFill="1"/>
    <xf numFmtId="178" fontId="4" fillId="14" borderId="0" xfId="3" applyNumberFormat="1" applyFont="1" applyFill="1"/>
    <xf numFmtId="165" fontId="4" fillId="14" borderId="0" xfId="5" applyFont="1" applyFill="1"/>
    <xf numFmtId="180" fontId="4" fillId="14" borderId="0" xfId="3" applyNumberFormat="1" applyFont="1" applyFill="1"/>
    <xf numFmtId="176" fontId="4" fillId="14" borderId="0" xfId="2" applyNumberFormat="1" applyFont="1" applyFill="1" applyBorder="1"/>
    <xf numFmtId="0" fontId="5" fillId="14" borderId="1" xfId="6" applyFill="1" applyBorder="1" applyAlignment="1">
      <alignment horizontal="center"/>
    </xf>
    <xf numFmtId="171" fontId="5" fillId="14" borderId="1" xfId="6" applyNumberFormat="1" applyFill="1" applyBorder="1" applyAlignment="1">
      <alignment horizontal="center"/>
    </xf>
    <xf numFmtId="2" fontId="5" fillId="14" borderId="1" xfId="6" applyNumberFormat="1" applyFill="1" applyBorder="1" applyAlignment="1">
      <alignment horizontal="center"/>
    </xf>
    <xf numFmtId="0" fontId="5" fillId="14" borderId="0" xfId="6" applyFill="1" applyBorder="1" applyAlignment="1">
      <alignment horizontal="center" vertical="center"/>
    </xf>
    <xf numFmtId="0" fontId="5" fillId="14" borderId="1" xfId="6" applyFill="1" applyBorder="1"/>
    <xf numFmtId="0" fontId="5" fillId="14" borderId="4" xfId="6" applyFill="1" applyBorder="1" applyAlignment="1">
      <alignment horizontal="center"/>
    </xf>
    <xf numFmtId="0" fontId="5" fillId="14" borderId="37" xfId="6" applyFill="1" applyBorder="1" applyAlignment="1">
      <alignment horizontal="center"/>
    </xf>
    <xf numFmtId="171" fontId="5" fillId="14" borderId="12" xfId="6" applyNumberFormat="1" applyFill="1" applyBorder="1" applyAlignment="1">
      <alignment horizontal="center"/>
    </xf>
    <xf numFmtId="166" fontId="4" fillId="14" borderId="0" xfId="2" applyNumberFormat="1" applyFont="1" applyFill="1" applyBorder="1"/>
    <xf numFmtId="0" fontId="44" fillId="0" borderId="1" xfId="0" applyFont="1" applyBorder="1"/>
    <xf numFmtId="10" fontId="5" fillId="14" borderId="1" xfId="7" applyNumberFormat="1" applyFont="1" applyFill="1" applyBorder="1" applyAlignment="1">
      <alignment horizontal="center" vertical="center"/>
    </xf>
    <xf numFmtId="2" fontId="26" fillId="14" borderId="1" xfId="6" applyNumberFormat="1" applyFont="1" applyFill="1" applyBorder="1" applyAlignment="1">
      <alignment horizontal="center"/>
    </xf>
    <xf numFmtId="165" fontId="5" fillId="14" borderId="0" xfId="5" applyFont="1" applyFill="1"/>
    <xf numFmtId="0" fontId="5" fillId="0" borderId="38" xfId="6" applyFill="1" applyBorder="1" applyAlignment="1">
      <alignment horizontal="center"/>
    </xf>
    <xf numFmtId="0" fontId="2" fillId="0" borderId="5" xfId="6" applyFont="1" applyFill="1" applyBorder="1" applyAlignment="1">
      <alignment horizontal="center"/>
    </xf>
    <xf numFmtId="0" fontId="5" fillId="0" borderId="41" xfId="6" applyFill="1" applyBorder="1" applyAlignment="1">
      <alignment horizontal="center"/>
    </xf>
    <xf numFmtId="0" fontId="2" fillId="0" borderId="45" xfId="6" applyFont="1" applyFill="1" applyBorder="1" applyAlignment="1">
      <alignment horizontal="center"/>
    </xf>
    <xf numFmtId="0" fontId="2" fillId="14" borderId="4" xfId="6" applyFont="1" applyFill="1" applyBorder="1"/>
    <xf numFmtId="168" fontId="0" fillId="14" borderId="37" xfId="9" applyNumberFormat="1" applyFont="1" applyFill="1" applyBorder="1"/>
    <xf numFmtId="173" fontId="0" fillId="0" borderId="37" xfId="9" applyNumberFormat="1" applyFont="1" applyFill="1" applyBorder="1"/>
    <xf numFmtId="168" fontId="5" fillId="0" borderId="37" xfId="6" applyNumberFormat="1" applyFill="1" applyBorder="1"/>
    <xf numFmtId="173" fontId="5" fillId="0" borderId="37" xfId="6" applyNumberFormat="1" applyFill="1" applyBorder="1"/>
    <xf numFmtId="173" fontId="0" fillId="0" borderId="40" xfId="9" applyNumberFormat="1" applyFont="1" applyFill="1" applyBorder="1"/>
    <xf numFmtId="168" fontId="5" fillId="0" borderId="40" xfId="6" applyNumberFormat="1" applyFill="1" applyBorder="1"/>
    <xf numFmtId="173" fontId="5" fillId="0" borderId="40" xfId="6" applyNumberFormat="1" applyFill="1" applyBorder="1"/>
    <xf numFmtId="173" fontId="5" fillId="0" borderId="39" xfId="6" applyNumberFormat="1" applyFill="1" applyBorder="1"/>
    <xf numFmtId="173" fontId="0" fillId="0" borderId="19" xfId="9" applyNumberFormat="1" applyFont="1" applyFill="1" applyBorder="1"/>
    <xf numFmtId="168" fontId="5" fillId="0" borderId="19" xfId="6" applyNumberFormat="1" applyFill="1" applyBorder="1"/>
    <xf numFmtId="173" fontId="5" fillId="0" borderId="4" xfId="6" applyNumberFormat="1" applyFill="1" applyBorder="1"/>
    <xf numFmtId="173" fontId="5" fillId="0" borderId="42" xfId="6" applyNumberFormat="1" applyFill="1" applyBorder="1"/>
    <xf numFmtId="0" fontId="47" fillId="0" borderId="39" xfId="18" applyFont="1" applyFill="1" applyBorder="1" applyAlignment="1" applyProtection="1">
      <alignment horizontal="left" vertical="center"/>
    </xf>
    <xf numFmtId="0" fontId="47" fillId="0" borderId="4" xfId="18" applyFont="1" applyFill="1" applyBorder="1" applyAlignment="1" applyProtection="1">
      <alignment horizontal="left" vertical="center"/>
    </xf>
    <xf numFmtId="1" fontId="5" fillId="14" borderId="37" xfId="6" applyNumberFormat="1" applyFill="1" applyBorder="1" applyAlignment="1">
      <alignment horizontal="center"/>
    </xf>
    <xf numFmtId="1" fontId="5" fillId="14" borderId="40" xfId="6" applyNumberFormat="1" applyFill="1" applyBorder="1" applyAlignment="1">
      <alignment horizontal="center"/>
    </xf>
    <xf numFmtId="1" fontId="5" fillId="14" borderId="19" xfId="6" applyNumberFormat="1" applyFill="1" applyBorder="1" applyAlignment="1">
      <alignment horizontal="center"/>
    </xf>
    <xf numFmtId="168" fontId="4" fillId="14" borderId="0" xfId="9" applyNumberFormat="1" applyFont="1" applyFill="1" applyBorder="1"/>
    <xf numFmtId="175" fontId="0" fillId="14" borderId="37" xfId="9" applyNumberFormat="1" applyFont="1" applyFill="1" applyBorder="1"/>
    <xf numFmtId="0" fontId="6" fillId="0" borderId="42" xfId="0" applyFont="1" applyBorder="1" applyAlignment="1">
      <alignment horizontal="center"/>
    </xf>
    <xf numFmtId="2" fontId="6" fillId="0" borderId="42" xfId="0" applyNumberFormat="1" applyFont="1" applyBorder="1" applyAlignment="1">
      <alignment horizontal="center"/>
    </xf>
    <xf numFmtId="171" fontId="50" fillId="14" borderId="1" xfId="6" applyNumberFormat="1" applyFont="1" applyFill="1" applyBorder="1" applyAlignment="1">
      <alignment horizontal="center"/>
    </xf>
    <xf numFmtId="0" fontId="1" fillId="14" borderId="42" xfId="6" applyFont="1" applyFill="1" applyBorder="1"/>
    <xf numFmtId="0" fontId="1" fillId="14" borderId="4" xfId="6" applyFont="1" applyFill="1" applyBorder="1"/>
    <xf numFmtId="0" fontId="2" fillId="14" borderId="42" xfId="6" applyFont="1" applyFill="1" applyBorder="1"/>
    <xf numFmtId="165" fontId="4" fillId="14" borderId="0" xfId="5" applyFont="1" applyFill="1" applyBorder="1"/>
    <xf numFmtId="165" fontId="33" fillId="14" borderId="0" xfId="5" applyFont="1" applyFill="1" applyBorder="1" applyAlignment="1">
      <alignment vertical="center"/>
    </xf>
    <xf numFmtId="0" fontId="47" fillId="0" borderId="42" xfId="18" applyFont="1" applyFill="1" applyBorder="1" applyAlignment="1" applyProtection="1">
      <alignment horizontal="left" vertical="center"/>
    </xf>
    <xf numFmtId="173" fontId="5" fillId="0" borderId="19" xfId="6" applyNumberFormat="1" applyFill="1" applyBorder="1"/>
    <xf numFmtId="9" fontId="4" fillId="14" borderId="0" xfId="2" applyFont="1" applyFill="1" applyBorder="1"/>
    <xf numFmtId="10" fontId="4" fillId="14" borderId="0" xfId="2" applyNumberFormat="1" applyFont="1" applyFill="1" applyBorder="1"/>
    <xf numFmtId="10" fontId="34" fillId="14" borderId="0" xfId="2" applyNumberFormat="1" applyFont="1" applyFill="1" applyBorder="1" applyAlignment="1">
      <alignment horizontal="center"/>
    </xf>
    <xf numFmtId="10" fontId="4" fillId="14" borderId="0" xfId="2" applyNumberFormat="1" applyFont="1" applyFill="1"/>
    <xf numFmtId="10" fontId="33" fillId="14" borderId="0" xfId="2" applyNumberFormat="1" applyFont="1" applyFill="1" applyBorder="1" applyAlignment="1">
      <alignment vertical="center"/>
    </xf>
    <xf numFmtId="169" fontId="32" fillId="0" borderId="37" xfId="5" applyNumberFormat="1" applyFont="1" applyBorder="1" applyAlignment="1">
      <alignment horizontal="center" vertical="center"/>
    </xf>
    <xf numFmtId="169" fontId="32" fillId="0" borderId="19" xfId="5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2" fillId="0" borderId="0" xfId="0" applyFont="1" applyAlignment="1">
      <alignment horizontal="center"/>
    </xf>
    <xf numFmtId="0" fontId="27" fillId="11" borderId="31" xfId="0" applyFont="1" applyFill="1" applyBorder="1" applyAlignment="1">
      <alignment horizontal="right" vertical="center"/>
    </xf>
    <xf numFmtId="0" fontId="27" fillId="11" borderId="32" xfId="0" applyFont="1" applyFill="1" applyBorder="1" applyAlignment="1">
      <alignment horizontal="right" vertical="center"/>
    </xf>
    <xf numFmtId="0" fontId="27" fillId="11" borderId="33" xfId="0" applyFont="1" applyFill="1" applyBorder="1" applyAlignment="1">
      <alignment horizontal="right" vertical="center"/>
    </xf>
    <xf numFmtId="0" fontId="28" fillId="12" borderId="34" xfId="0" applyFont="1" applyFill="1" applyBorder="1" applyAlignment="1">
      <alignment horizontal="center" vertical="center"/>
    </xf>
    <xf numFmtId="0" fontId="28" fillId="12" borderId="26" xfId="0" applyFont="1" applyFill="1" applyBorder="1" applyAlignment="1">
      <alignment horizontal="center" vertical="center"/>
    </xf>
    <xf numFmtId="0" fontId="29" fillId="13" borderId="35" xfId="0" applyFont="1" applyFill="1" applyBorder="1" applyAlignment="1">
      <alignment horizontal="left" vertical="center" wrapText="1"/>
    </xf>
    <xf numFmtId="0" fontId="29" fillId="13" borderId="30" xfId="0" applyFont="1" applyFill="1" applyBorder="1" applyAlignment="1">
      <alignment horizontal="left" vertical="center" wrapText="1"/>
    </xf>
    <xf numFmtId="0" fontId="28" fillId="12" borderId="28" xfId="0" applyFont="1" applyFill="1" applyBorder="1" applyAlignment="1">
      <alignment horizontal="center" vertical="center"/>
    </xf>
    <xf numFmtId="0" fontId="29" fillId="13" borderId="29" xfId="0" applyFont="1" applyFill="1" applyBorder="1" applyAlignment="1">
      <alignment horizontal="left" vertical="center" wrapText="1"/>
    </xf>
    <xf numFmtId="4" fontId="27" fillId="11" borderId="31" xfId="0" applyNumberFormat="1" applyFont="1" applyFill="1" applyBorder="1" applyAlignment="1">
      <alignment horizontal="right" vertical="center"/>
    </xf>
    <xf numFmtId="4" fontId="27" fillId="11" borderId="32" xfId="0" applyNumberFormat="1" applyFont="1" applyFill="1" applyBorder="1" applyAlignment="1">
      <alignment horizontal="right" vertical="center"/>
    </xf>
    <xf numFmtId="9" fontId="27" fillId="11" borderId="31" xfId="2" applyFont="1" applyFill="1" applyBorder="1" applyAlignment="1">
      <alignment horizontal="right" vertical="center"/>
    </xf>
    <xf numFmtId="9" fontId="27" fillId="11" borderId="32" xfId="2" applyFont="1" applyFill="1" applyBorder="1" applyAlignment="1">
      <alignment horizontal="right" vertical="center"/>
    </xf>
    <xf numFmtId="0" fontId="28" fillId="12" borderId="27" xfId="0" applyFont="1" applyFill="1" applyBorder="1" applyAlignment="1">
      <alignment horizontal="center" vertical="center"/>
    </xf>
    <xf numFmtId="0" fontId="29" fillId="13" borderId="36" xfId="0" applyFont="1" applyFill="1" applyBorder="1" applyAlignment="1">
      <alignment horizontal="left" vertical="center" wrapText="1"/>
    </xf>
    <xf numFmtId="0" fontId="5" fillId="14" borderId="38" xfId="6" applyFill="1" applyBorder="1" applyAlignment="1">
      <alignment horizontal="left"/>
    </xf>
    <xf numFmtId="0" fontId="5" fillId="14" borderId="5" xfId="6" applyFill="1" applyBorder="1" applyAlignment="1">
      <alignment horizontal="left"/>
    </xf>
    <xf numFmtId="0" fontId="3" fillId="14" borderId="5" xfId="6" applyFont="1" applyFill="1" applyBorder="1" applyAlignment="1">
      <alignment horizontal="left"/>
    </xf>
    <xf numFmtId="0" fontId="5" fillId="14" borderId="39" xfId="6" applyFill="1" applyBorder="1" applyAlignment="1">
      <alignment horizontal="left"/>
    </xf>
    <xf numFmtId="0" fontId="5" fillId="14" borderId="1" xfId="6" applyFill="1" applyBorder="1" applyAlignment="1">
      <alignment horizontal="center"/>
    </xf>
    <xf numFmtId="0" fontId="5" fillId="14" borderId="41" xfId="6" applyFill="1" applyBorder="1" applyAlignment="1">
      <alignment horizontal="left"/>
    </xf>
    <xf numFmtId="0" fontId="5" fillId="14" borderId="45" xfId="6" applyFill="1" applyBorder="1" applyAlignment="1">
      <alignment horizontal="left"/>
    </xf>
    <xf numFmtId="17" fontId="5" fillId="14" borderId="45" xfId="6" applyNumberFormat="1" applyFill="1" applyBorder="1" applyAlignment="1">
      <alignment horizontal="left"/>
    </xf>
    <xf numFmtId="0" fontId="5" fillId="14" borderId="42" xfId="6" applyFill="1" applyBorder="1" applyAlignment="1">
      <alignment horizontal="left"/>
    </xf>
    <xf numFmtId="171" fontId="50" fillId="14" borderId="1" xfId="6" applyNumberFormat="1" applyFont="1" applyFill="1" applyBorder="1" applyAlignment="1">
      <alignment horizontal="center"/>
    </xf>
    <xf numFmtId="0" fontId="5" fillId="14" borderId="38" xfId="6" applyFill="1" applyBorder="1" applyAlignment="1">
      <alignment horizontal="left" wrapText="1"/>
    </xf>
    <xf numFmtId="0" fontId="5" fillId="14" borderId="5" xfId="6" applyFill="1" applyBorder="1" applyAlignment="1">
      <alignment wrapText="1"/>
    </xf>
    <xf numFmtId="0" fontId="5" fillId="14" borderId="41" xfId="6" applyFill="1" applyBorder="1" applyAlignment="1">
      <alignment wrapText="1"/>
    </xf>
    <xf numFmtId="0" fontId="5" fillId="14" borderId="45" xfId="6" applyFill="1" applyBorder="1" applyAlignment="1">
      <alignment wrapText="1"/>
    </xf>
    <xf numFmtId="0" fontId="26" fillId="14" borderId="5" xfId="6" applyFont="1" applyFill="1" applyBorder="1" applyAlignment="1">
      <alignment horizontal="center" vertical="center"/>
    </xf>
    <xf numFmtId="0" fontId="26" fillId="14" borderId="39" xfId="6" applyFont="1" applyFill="1" applyBorder="1" applyAlignment="1">
      <alignment horizontal="center" vertical="center"/>
    </xf>
    <xf numFmtId="0" fontId="5" fillId="14" borderId="45" xfId="6" applyFill="1" applyBorder="1" applyAlignment="1">
      <alignment horizontal="center" vertical="center"/>
    </xf>
    <xf numFmtId="0" fontId="5" fillId="14" borderId="42" xfId="6" applyFont="1" applyFill="1" applyBorder="1" applyAlignment="1">
      <alignment horizontal="center" vertical="center"/>
    </xf>
    <xf numFmtId="2" fontId="5" fillId="14" borderId="1" xfId="6" applyNumberFormat="1" applyFill="1" applyBorder="1" applyAlignment="1">
      <alignment horizontal="center"/>
    </xf>
    <xf numFmtId="0" fontId="1" fillId="14" borderId="38" xfId="6" applyFont="1" applyFill="1" applyBorder="1" applyAlignment="1">
      <alignment horizontal="center" vertical="center"/>
    </xf>
    <xf numFmtId="0" fontId="5" fillId="14" borderId="5" xfId="6" applyFill="1" applyBorder="1" applyAlignment="1">
      <alignment horizontal="center" vertical="center"/>
    </xf>
    <xf numFmtId="0" fontId="5" fillId="14" borderId="3" xfId="6" applyFill="1" applyBorder="1" applyAlignment="1">
      <alignment horizontal="center" vertical="center"/>
    </xf>
    <xf numFmtId="0" fontId="5" fillId="14" borderId="0" xfId="6" applyFill="1" applyBorder="1" applyAlignment="1">
      <alignment horizontal="center" vertical="center"/>
    </xf>
    <xf numFmtId="172" fontId="2" fillId="14" borderId="5" xfId="6" applyNumberFormat="1" applyFont="1" applyFill="1" applyBorder="1" applyAlignment="1">
      <alignment horizontal="center" vertical="center"/>
    </xf>
    <xf numFmtId="172" fontId="2" fillId="14" borderId="39" xfId="6" applyNumberFormat="1" applyFont="1" applyFill="1" applyBorder="1" applyAlignment="1">
      <alignment horizontal="center" vertical="center"/>
    </xf>
    <xf numFmtId="172" fontId="2" fillId="14" borderId="0" xfId="6" applyNumberFormat="1" applyFont="1" applyFill="1" applyBorder="1" applyAlignment="1">
      <alignment horizontal="center" vertical="center"/>
    </xf>
    <xf numFmtId="172" fontId="2" fillId="14" borderId="4" xfId="6" applyNumberFormat="1" applyFont="1" applyFill="1" applyBorder="1" applyAlignment="1">
      <alignment horizontal="center" vertical="center"/>
    </xf>
    <xf numFmtId="171" fontId="5" fillId="14" borderId="1" xfId="6" applyNumberFormat="1" applyFill="1" applyBorder="1" applyAlignment="1">
      <alignment horizontal="center"/>
    </xf>
    <xf numFmtId="0" fontId="5" fillId="14" borderId="3" xfId="6" applyFill="1" applyBorder="1" applyAlignment="1">
      <alignment horizontal="center"/>
    </xf>
    <xf numFmtId="0" fontId="5" fillId="14" borderId="0" xfId="6" applyFont="1" applyFill="1" applyBorder="1" applyAlignment="1">
      <alignment horizontal="center"/>
    </xf>
    <xf numFmtId="0" fontId="2" fillId="14" borderId="0" xfId="6" applyFont="1" applyFill="1" applyBorder="1" applyAlignment="1">
      <alignment horizontal="center"/>
    </xf>
    <xf numFmtId="0" fontId="5" fillId="14" borderId="4" xfId="6" applyFont="1" applyFill="1" applyBorder="1" applyAlignment="1">
      <alignment horizontal="center"/>
    </xf>
    <xf numFmtId="0" fontId="5" fillId="14" borderId="12" xfId="6" applyFill="1" applyBorder="1" applyAlignment="1">
      <alignment horizontal="center"/>
    </xf>
    <xf numFmtId="0" fontId="5" fillId="14" borderId="10" xfId="6" applyFill="1" applyBorder="1" applyAlignment="1">
      <alignment horizontal="center"/>
    </xf>
    <xf numFmtId="0" fontId="5" fillId="14" borderId="11" xfId="6" applyFill="1" applyBorder="1" applyAlignment="1">
      <alignment horizontal="center"/>
    </xf>
    <xf numFmtId="0" fontId="5" fillId="14" borderId="0" xfId="6" applyFill="1" applyBorder="1" applyAlignment="1">
      <alignment horizontal="center"/>
    </xf>
    <xf numFmtId="10" fontId="5" fillId="14" borderId="0" xfId="7" applyNumberFormat="1" applyFont="1" applyFill="1" applyBorder="1" applyAlignment="1">
      <alignment horizontal="center" vertical="center"/>
    </xf>
    <xf numFmtId="10" fontId="5" fillId="14" borderId="4" xfId="7" applyNumberFormat="1" applyFont="1" applyFill="1" applyBorder="1" applyAlignment="1">
      <alignment horizontal="center" vertical="center"/>
    </xf>
    <xf numFmtId="2" fontId="5" fillId="14" borderId="0" xfId="7" applyNumberFormat="1" applyFont="1" applyFill="1" applyBorder="1" applyAlignment="1">
      <alignment horizontal="center" vertical="center"/>
    </xf>
    <xf numFmtId="2" fontId="5" fillId="14" borderId="4" xfId="7" applyNumberFormat="1" applyFont="1" applyFill="1" applyBorder="1" applyAlignment="1">
      <alignment horizontal="center" vertical="center"/>
    </xf>
    <xf numFmtId="9" fontId="5" fillId="14" borderId="0" xfId="6" applyNumberFormat="1" applyFill="1" applyBorder="1" applyAlignment="1">
      <alignment horizontal="center"/>
    </xf>
    <xf numFmtId="0" fontId="5" fillId="14" borderId="4" xfId="6" applyFill="1" applyBorder="1" applyAlignment="1">
      <alignment horizontal="center"/>
    </xf>
    <xf numFmtId="171" fontId="5" fillId="14" borderId="12" xfId="6" applyNumberFormat="1" applyFill="1" applyBorder="1" applyAlignment="1">
      <alignment horizontal="center"/>
    </xf>
    <xf numFmtId="171" fontId="5" fillId="14" borderId="11" xfId="6" applyNumberFormat="1" applyFill="1" applyBorder="1" applyAlignment="1">
      <alignment horizontal="center"/>
    </xf>
    <xf numFmtId="2" fontId="5" fillId="14" borderId="12" xfId="6" applyNumberFormat="1" applyFill="1" applyBorder="1" applyAlignment="1">
      <alignment horizontal="center"/>
    </xf>
    <xf numFmtId="2" fontId="5" fillId="14" borderId="11" xfId="6" applyNumberFormat="1" applyFill="1" applyBorder="1" applyAlignment="1">
      <alignment horizontal="center"/>
    </xf>
    <xf numFmtId="0" fontId="45" fillId="0" borderId="45" xfId="0" applyFont="1" applyFill="1" applyBorder="1" applyAlignment="1">
      <alignment horizontal="center"/>
    </xf>
    <xf numFmtId="0" fontId="45" fillId="0" borderId="42" xfId="0" applyFont="1" applyFill="1" applyBorder="1" applyAlignment="1">
      <alignment horizontal="center"/>
    </xf>
    <xf numFmtId="0" fontId="45" fillId="0" borderId="5" xfId="0" applyFont="1" applyFill="1" applyBorder="1" applyAlignment="1">
      <alignment horizontal="center"/>
    </xf>
    <xf numFmtId="0" fontId="45" fillId="0" borderId="39" xfId="0" applyFont="1" applyFill="1" applyBorder="1" applyAlignment="1">
      <alignment horizontal="center"/>
    </xf>
    <xf numFmtId="179" fontId="5" fillId="14" borderId="0" xfId="6" applyNumberFormat="1" applyFill="1" applyBorder="1" applyAlignment="1">
      <alignment horizontal="center"/>
    </xf>
    <xf numFmtId="0" fontId="5" fillId="14" borderId="41" xfId="6" applyFill="1" applyBorder="1" applyAlignment="1">
      <alignment horizontal="center"/>
    </xf>
    <xf numFmtId="0" fontId="5" fillId="14" borderId="45" xfId="6" applyFill="1" applyBorder="1" applyAlignment="1">
      <alignment horizontal="center"/>
    </xf>
    <xf numFmtId="172" fontId="5" fillId="14" borderId="45" xfId="7" applyNumberFormat="1" applyFont="1" applyFill="1" applyBorder="1" applyAlignment="1">
      <alignment horizontal="center"/>
    </xf>
    <xf numFmtId="172" fontId="5" fillId="14" borderId="42" xfId="7" applyNumberFormat="1" applyFont="1" applyFill="1" applyBorder="1" applyAlignment="1">
      <alignment horizontal="center"/>
    </xf>
    <xf numFmtId="0" fontId="5" fillId="14" borderId="10" xfId="6" applyFont="1" applyFill="1" applyBorder="1" applyAlignment="1">
      <alignment horizontal="center"/>
    </xf>
    <xf numFmtId="179" fontId="5" fillId="14" borderId="10" xfId="6" applyNumberFormat="1" applyFill="1" applyBorder="1" applyAlignment="1">
      <alignment horizontal="center"/>
    </xf>
    <xf numFmtId="179" fontId="5" fillId="14" borderId="11" xfId="6" applyNumberFormat="1" applyFont="1" applyFill="1" applyBorder="1" applyAlignment="1">
      <alignment horizontal="center"/>
    </xf>
    <xf numFmtId="0" fontId="34" fillId="15" borderId="12" xfId="6" applyFont="1" applyFill="1" applyBorder="1" applyAlignment="1">
      <alignment horizontal="center"/>
    </xf>
    <xf numFmtId="0" fontId="34" fillId="15" borderId="10" xfId="6" applyFont="1" applyFill="1" applyBorder="1" applyAlignment="1">
      <alignment horizontal="center"/>
    </xf>
    <xf numFmtId="0" fontId="34" fillId="15" borderId="11" xfId="6" applyFont="1" applyFill="1" applyBorder="1" applyAlignment="1">
      <alignment horizontal="center"/>
    </xf>
    <xf numFmtId="172" fontId="34" fillId="15" borderId="12" xfId="9" applyNumberFormat="1" applyFont="1" applyFill="1" applyBorder="1" applyAlignment="1">
      <alignment horizontal="center"/>
    </xf>
    <xf numFmtId="172" fontId="34" fillId="15" borderId="11" xfId="9" applyNumberFormat="1" applyFont="1" applyFill="1" applyBorder="1" applyAlignment="1">
      <alignment horizontal="center"/>
    </xf>
    <xf numFmtId="0" fontId="40" fillId="14" borderId="1" xfId="6" applyFont="1" applyFill="1" applyBorder="1" applyAlignment="1">
      <alignment horizontal="center"/>
    </xf>
    <xf numFmtId="0" fontId="41" fillId="14" borderId="38" xfId="6" applyFont="1" applyFill="1" applyBorder="1" applyAlignment="1">
      <alignment horizontal="center" vertical="center"/>
    </xf>
    <xf numFmtId="0" fontId="41" fillId="14" borderId="5" xfId="6" applyFont="1" applyFill="1" applyBorder="1" applyAlignment="1">
      <alignment horizontal="center" vertical="center"/>
    </xf>
    <xf numFmtId="0" fontId="41" fillId="14" borderId="39" xfId="6" applyFont="1" applyFill="1" applyBorder="1" applyAlignment="1">
      <alignment horizontal="center" vertical="center"/>
    </xf>
    <xf numFmtId="0" fontId="41" fillId="14" borderId="43" xfId="6" applyFont="1" applyFill="1" applyBorder="1" applyAlignment="1">
      <alignment horizontal="center" vertical="center"/>
    </xf>
    <xf numFmtId="0" fontId="41" fillId="14" borderId="6" xfId="6" applyFont="1" applyFill="1" applyBorder="1" applyAlignment="1">
      <alignment horizontal="center" vertical="center"/>
    </xf>
    <xf numFmtId="0" fontId="41" fillId="14" borderId="44" xfId="6" applyFont="1" applyFill="1" applyBorder="1" applyAlignment="1">
      <alignment horizontal="center" vertical="center"/>
    </xf>
    <xf numFmtId="0" fontId="42" fillId="14" borderId="1" xfId="6" applyFont="1" applyFill="1" applyBorder="1" applyAlignment="1">
      <alignment horizontal="left"/>
    </xf>
    <xf numFmtId="0" fontId="34" fillId="14" borderId="1" xfId="6" applyFont="1" applyFill="1" applyBorder="1" applyAlignment="1">
      <alignment horizontal="center"/>
    </xf>
    <xf numFmtId="0" fontId="35" fillId="14" borderId="1" xfId="6" applyFont="1" applyFill="1" applyBorder="1" applyAlignment="1">
      <alignment horizontal="center" vertical="center"/>
    </xf>
    <xf numFmtId="172" fontId="34" fillId="14" borderId="1" xfId="9" applyNumberFormat="1" applyFont="1" applyFill="1" applyBorder="1" applyAlignment="1">
      <alignment horizontal="center"/>
    </xf>
    <xf numFmtId="0" fontId="34" fillId="15" borderId="1" xfId="6" applyFont="1" applyFill="1" applyBorder="1" applyAlignment="1">
      <alignment horizontal="center"/>
    </xf>
    <xf numFmtId="172" fontId="34" fillId="15" borderId="1" xfId="9" applyNumberFormat="1" applyFont="1" applyFill="1" applyBorder="1" applyAlignment="1">
      <alignment horizontal="center"/>
    </xf>
    <xf numFmtId="0" fontId="26" fillId="14" borderId="1" xfId="6" applyFont="1" applyFill="1" applyBorder="1" applyAlignment="1">
      <alignment horizontal="left"/>
    </xf>
    <xf numFmtId="0" fontId="5" fillId="14" borderId="37" xfId="6" applyFill="1" applyBorder="1" applyAlignment="1">
      <alignment horizontal="center" vertical="center" wrapText="1"/>
    </xf>
    <xf numFmtId="0" fontId="5" fillId="14" borderId="40" xfId="6" applyFill="1" applyBorder="1" applyAlignment="1">
      <alignment horizontal="center" vertical="center" wrapText="1"/>
    </xf>
    <xf numFmtId="0" fontId="5" fillId="14" borderId="19" xfId="6" applyFill="1" applyBorder="1" applyAlignment="1">
      <alignment horizontal="center" vertical="center" wrapText="1"/>
    </xf>
    <xf numFmtId="0" fontId="5" fillId="14" borderId="37" xfId="6" applyFill="1" applyBorder="1" applyAlignment="1">
      <alignment horizontal="center" vertical="center"/>
    </xf>
    <xf numFmtId="0" fontId="5" fillId="14" borderId="40" xfId="6" applyFill="1" applyBorder="1" applyAlignment="1">
      <alignment horizontal="center" vertical="center"/>
    </xf>
    <xf numFmtId="0" fontId="5" fillId="14" borderId="19" xfId="6" applyFill="1" applyBorder="1" applyAlignment="1">
      <alignment horizontal="center" vertical="center"/>
    </xf>
    <xf numFmtId="0" fontId="33" fillId="14" borderId="38" xfId="6" applyFont="1" applyFill="1" applyBorder="1" applyAlignment="1">
      <alignment horizontal="center" vertical="center"/>
    </xf>
    <xf numFmtId="0" fontId="33" fillId="14" borderId="5" xfId="6" applyFont="1" applyFill="1" applyBorder="1" applyAlignment="1">
      <alignment horizontal="center" vertical="center"/>
    </xf>
    <xf numFmtId="0" fontId="33" fillId="14" borderId="39" xfId="6" applyFont="1" applyFill="1" applyBorder="1" applyAlignment="1">
      <alignment horizontal="center" vertical="center"/>
    </xf>
    <xf numFmtId="0" fontId="33" fillId="14" borderId="43" xfId="6" applyFont="1" applyFill="1" applyBorder="1" applyAlignment="1">
      <alignment horizontal="center" vertical="center"/>
    </xf>
    <xf numFmtId="0" fontId="33" fillId="14" borderId="6" xfId="6" applyFont="1" applyFill="1" applyBorder="1" applyAlignment="1">
      <alignment horizontal="center" vertical="center"/>
    </xf>
    <xf numFmtId="0" fontId="33" fillId="14" borderId="44" xfId="6" applyFont="1" applyFill="1" applyBorder="1" applyAlignment="1">
      <alignment horizontal="center" vertical="center"/>
    </xf>
    <xf numFmtId="0" fontId="26" fillId="14" borderId="37" xfId="6" applyFont="1" applyFill="1" applyBorder="1" applyAlignment="1">
      <alignment horizontal="left"/>
    </xf>
    <xf numFmtId="0" fontId="5" fillId="14" borderId="38" xfId="6" applyFill="1" applyBorder="1" applyAlignment="1">
      <alignment horizontal="center" vertical="center"/>
    </xf>
    <xf numFmtId="0" fontId="5" fillId="14" borderId="39" xfId="6" applyFill="1" applyBorder="1" applyAlignment="1">
      <alignment horizontal="center" vertical="center"/>
    </xf>
    <xf numFmtId="0" fontId="5" fillId="14" borderId="4" xfId="6" applyFill="1" applyBorder="1" applyAlignment="1">
      <alignment horizontal="center" vertical="center"/>
    </xf>
    <xf numFmtId="0" fontId="5" fillId="14" borderId="41" xfId="6" applyFill="1" applyBorder="1" applyAlignment="1">
      <alignment horizontal="center" vertical="center"/>
    </xf>
    <xf numFmtId="0" fontId="5" fillId="14" borderId="42" xfId="6" applyFill="1" applyBorder="1" applyAlignment="1">
      <alignment horizontal="center" vertical="center"/>
    </xf>
    <xf numFmtId="0" fontId="5" fillId="14" borderId="1" xfId="6" applyFill="1" applyBorder="1" applyAlignment="1">
      <alignment horizontal="center" vertical="center"/>
    </xf>
    <xf numFmtId="0" fontId="5" fillId="14" borderId="1" xfId="6" applyFill="1" applyBorder="1" applyAlignment="1">
      <alignment horizontal="center" vertical="center" wrapText="1"/>
    </xf>
    <xf numFmtId="10" fontId="34" fillId="14" borderId="1" xfId="2" applyNumberFormat="1" applyFont="1" applyFill="1" applyBorder="1" applyAlignment="1">
      <alignment horizontal="center"/>
    </xf>
    <xf numFmtId="0" fontId="34" fillId="14" borderId="1" xfId="6" applyFont="1" applyFill="1" applyBorder="1" applyAlignment="1">
      <alignment horizontal="center" vertical="center"/>
    </xf>
    <xf numFmtId="0" fontId="5" fillId="14" borderId="1" xfId="6" applyFill="1" applyBorder="1" applyAlignment="1">
      <alignment vertical="center"/>
    </xf>
  </cellXfs>
  <cellStyles count="19">
    <cellStyle name="Hipervínculo" xfId="4" builtinId="8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Millares" xfId="5" builtinId="3"/>
    <cellStyle name="Millares 2" xfId="8"/>
    <cellStyle name="Moneda" xfId="3" builtinId="4"/>
    <cellStyle name="Moneda 2" xfId="9"/>
    <cellStyle name="Normal" xfId="0" builtinId="0"/>
    <cellStyle name="Normal 2" xfId="6"/>
    <cellStyle name="Normal 8" xfId="18"/>
    <cellStyle name="Normal_Proyección blanco" xfId="1"/>
    <cellStyle name="Porcentaje" xfId="2" builtinId="5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3</xdr:col>
      <xdr:colOff>682318</xdr:colOff>
      <xdr:row>28</xdr:row>
      <xdr:rowOff>60960</xdr:rowOff>
    </xdr:to>
    <xdr:pic>
      <xdr:nvPicPr>
        <xdr:cNvPr id="2" name="Imagen 1" descr="Weighted Average Cost Of Capital (WACC) - Magnimetrics">
          <a:extLst>
            <a:ext uri="{FF2B5EF4-FFF2-40B4-BE49-F238E27FC236}">
              <a16:creationId xmlns:a16="http://schemas.microsoft.com/office/drawing/2014/main" id="{4715B6B5-FBC5-434C-BCF4-1AC4CF12A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3760"/>
          <a:ext cx="5216218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2049" name="Picture 1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1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2050" name="Picture 2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2051" name="Picture 3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38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2052" name="Picture 4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152400</xdr:rowOff>
    </xdr:to>
    <xdr:pic>
      <xdr:nvPicPr>
        <xdr:cNvPr id="2053" name="Picture 5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04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2054" name="Picture 6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38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152400</xdr:rowOff>
    </xdr:to>
    <xdr:pic>
      <xdr:nvPicPr>
        <xdr:cNvPr id="2055" name="Picture 7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7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152400</xdr:rowOff>
    </xdr:to>
    <xdr:pic>
      <xdr:nvPicPr>
        <xdr:cNvPr id="2056" name="Picture 8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05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152400</xdr:rowOff>
    </xdr:to>
    <xdr:pic>
      <xdr:nvPicPr>
        <xdr:cNvPr id="2057" name="Picture 9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38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152400</xdr:rowOff>
    </xdr:to>
    <xdr:pic>
      <xdr:nvPicPr>
        <xdr:cNvPr id="2058" name="Picture 10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1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152400</xdr:rowOff>
    </xdr:to>
    <xdr:pic>
      <xdr:nvPicPr>
        <xdr:cNvPr id="2059" name="Picture 11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152400</xdr:rowOff>
    </xdr:to>
    <xdr:pic>
      <xdr:nvPicPr>
        <xdr:cNvPr id="2060" name="Picture 12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38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152400</xdr:rowOff>
    </xdr:to>
    <xdr:pic>
      <xdr:nvPicPr>
        <xdr:cNvPr id="2061" name="Picture 13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71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152400</xdr:rowOff>
    </xdr:to>
    <xdr:pic>
      <xdr:nvPicPr>
        <xdr:cNvPr id="2062" name="Picture 14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</xdr:colOff>
      <xdr:row>29</xdr:row>
      <xdr:rowOff>152400</xdr:rowOff>
    </xdr:to>
    <xdr:pic>
      <xdr:nvPicPr>
        <xdr:cNvPr id="2063" name="Picture 15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38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pic>
      <xdr:nvPicPr>
        <xdr:cNvPr id="2064" name="Picture 16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72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</xdr:colOff>
      <xdr:row>33</xdr:row>
      <xdr:rowOff>152400</xdr:rowOff>
    </xdr:to>
    <xdr:pic>
      <xdr:nvPicPr>
        <xdr:cNvPr id="2065" name="Picture 17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05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</xdr:colOff>
      <xdr:row>35</xdr:row>
      <xdr:rowOff>152400</xdr:rowOff>
    </xdr:to>
    <xdr:pic>
      <xdr:nvPicPr>
        <xdr:cNvPr id="2066" name="Picture 18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</xdr:colOff>
      <xdr:row>37</xdr:row>
      <xdr:rowOff>152400</xdr:rowOff>
    </xdr:to>
    <xdr:pic>
      <xdr:nvPicPr>
        <xdr:cNvPr id="2067" name="Picture 19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72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</xdr:colOff>
      <xdr:row>39</xdr:row>
      <xdr:rowOff>152400</xdr:rowOff>
    </xdr:to>
    <xdr:pic>
      <xdr:nvPicPr>
        <xdr:cNvPr id="2068" name="Picture 20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05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</xdr:colOff>
      <xdr:row>41</xdr:row>
      <xdr:rowOff>152400</xdr:rowOff>
    </xdr:to>
    <xdr:pic>
      <xdr:nvPicPr>
        <xdr:cNvPr id="2069" name="Picture 21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38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</xdr:colOff>
      <xdr:row>43</xdr:row>
      <xdr:rowOff>152400</xdr:rowOff>
    </xdr:to>
    <xdr:pic>
      <xdr:nvPicPr>
        <xdr:cNvPr id="2070" name="Picture 22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72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152400</xdr:colOff>
      <xdr:row>45</xdr:row>
      <xdr:rowOff>152400</xdr:rowOff>
    </xdr:to>
    <xdr:pic>
      <xdr:nvPicPr>
        <xdr:cNvPr id="2071" name="Picture 23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505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</xdr:colOff>
      <xdr:row>47</xdr:row>
      <xdr:rowOff>152400</xdr:rowOff>
    </xdr:to>
    <xdr:pic>
      <xdr:nvPicPr>
        <xdr:cNvPr id="2072" name="Picture 24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839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</xdr:colOff>
      <xdr:row>49</xdr:row>
      <xdr:rowOff>152400</xdr:rowOff>
    </xdr:to>
    <xdr:pic>
      <xdr:nvPicPr>
        <xdr:cNvPr id="2073" name="Picture 25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72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152400</xdr:colOff>
      <xdr:row>51</xdr:row>
      <xdr:rowOff>152400</xdr:rowOff>
    </xdr:to>
    <xdr:pic>
      <xdr:nvPicPr>
        <xdr:cNvPr id="2074" name="Picture 26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152400</xdr:colOff>
      <xdr:row>53</xdr:row>
      <xdr:rowOff>152400</xdr:rowOff>
    </xdr:to>
    <xdr:pic>
      <xdr:nvPicPr>
        <xdr:cNvPr id="2075" name="Picture 27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39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152400</xdr:colOff>
      <xdr:row>55</xdr:row>
      <xdr:rowOff>152400</xdr:rowOff>
    </xdr:to>
    <xdr:pic>
      <xdr:nvPicPr>
        <xdr:cNvPr id="2076" name="Picture 28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72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152400</xdr:colOff>
      <xdr:row>57</xdr:row>
      <xdr:rowOff>152400</xdr:rowOff>
    </xdr:to>
    <xdr:pic>
      <xdr:nvPicPr>
        <xdr:cNvPr id="2077" name="Picture 29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5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152400</xdr:colOff>
      <xdr:row>59</xdr:row>
      <xdr:rowOff>152400</xdr:rowOff>
    </xdr:to>
    <xdr:pic>
      <xdr:nvPicPr>
        <xdr:cNvPr id="2078" name="Picture 30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9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</xdr:colOff>
      <xdr:row>61</xdr:row>
      <xdr:rowOff>152400</xdr:rowOff>
    </xdr:to>
    <xdr:pic>
      <xdr:nvPicPr>
        <xdr:cNvPr id="2079" name="Picture 31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72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152400</xdr:colOff>
      <xdr:row>63</xdr:row>
      <xdr:rowOff>152400</xdr:rowOff>
    </xdr:to>
    <xdr:pic>
      <xdr:nvPicPr>
        <xdr:cNvPr id="2080" name="Picture 32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06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152400</xdr:colOff>
      <xdr:row>65</xdr:row>
      <xdr:rowOff>152400</xdr:rowOff>
    </xdr:to>
    <xdr:pic>
      <xdr:nvPicPr>
        <xdr:cNvPr id="2081" name="Picture 33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839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152400</xdr:colOff>
      <xdr:row>67</xdr:row>
      <xdr:rowOff>152400</xdr:rowOff>
    </xdr:to>
    <xdr:pic>
      <xdr:nvPicPr>
        <xdr:cNvPr id="2082" name="Picture 34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72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152400</xdr:colOff>
      <xdr:row>69</xdr:row>
      <xdr:rowOff>152400</xdr:rowOff>
    </xdr:to>
    <xdr:pic>
      <xdr:nvPicPr>
        <xdr:cNvPr id="2083" name="Picture 35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06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</xdr:colOff>
      <xdr:row>71</xdr:row>
      <xdr:rowOff>152400</xdr:rowOff>
    </xdr:to>
    <xdr:pic>
      <xdr:nvPicPr>
        <xdr:cNvPr id="2084" name="Picture 36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39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152400</xdr:colOff>
      <xdr:row>73</xdr:row>
      <xdr:rowOff>152400</xdr:rowOff>
    </xdr:to>
    <xdr:pic>
      <xdr:nvPicPr>
        <xdr:cNvPr id="2085" name="Picture 37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172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152400</xdr:colOff>
      <xdr:row>75</xdr:row>
      <xdr:rowOff>152400</xdr:rowOff>
    </xdr:to>
    <xdr:pic>
      <xdr:nvPicPr>
        <xdr:cNvPr id="2086" name="Picture 38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506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152400</xdr:colOff>
      <xdr:row>77</xdr:row>
      <xdr:rowOff>152400</xdr:rowOff>
    </xdr:to>
    <xdr:pic>
      <xdr:nvPicPr>
        <xdr:cNvPr id="2087" name="Picture 39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839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152400</xdr:colOff>
      <xdr:row>79</xdr:row>
      <xdr:rowOff>152400</xdr:rowOff>
    </xdr:to>
    <xdr:pic>
      <xdr:nvPicPr>
        <xdr:cNvPr id="2088" name="Picture 40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73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152400</xdr:colOff>
      <xdr:row>81</xdr:row>
      <xdr:rowOff>152400</xdr:rowOff>
    </xdr:to>
    <xdr:pic>
      <xdr:nvPicPr>
        <xdr:cNvPr id="2089" name="Picture 41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506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152400</xdr:colOff>
      <xdr:row>83</xdr:row>
      <xdr:rowOff>152400</xdr:rowOff>
    </xdr:to>
    <xdr:pic>
      <xdr:nvPicPr>
        <xdr:cNvPr id="2090" name="Picture 42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839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152400</xdr:colOff>
      <xdr:row>85</xdr:row>
      <xdr:rowOff>152400</xdr:rowOff>
    </xdr:to>
    <xdr:pic>
      <xdr:nvPicPr>
        <xdr:cNvPr id="2091" name="Picture 43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173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152400</xdr:colOff>
      <xdr:row>87</xdr:row>
      <xdr:rowOff>152400</xdr:rowOff>
    </xdr:to>
    <xdr:pic>
      <xdr:nvPicPr>
        <xdr:cNvPr id="2092" name="Picture 44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506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152400</xdr:colOff>
      <xdr:row>89</xdr:row>
      <xdr:rowOff>152400</xdr:rowOff>
    </xdr:to>
    <xdr:pic>
      <xdr:nvPicPr>
        <xdr:cNvPr id="2093" name="Picture 45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839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152400</xdr:colOff>
      <xdr:row>91</xdr:row>
      <xdr:rowOff>152400</xdr:rowOff>
    </xdr:to>
    <xdr:pic>
      <xdr:nvPicPr>
        <xdr:cNvPr id="2094" name="Picture 46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173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152400</xdr:colOff>
      <xdr:row>93</xdr:row>
      <xdr:rowOff>152400</xdr:rowOff>
    </xdr:to>
    <xdr:pic>
      <xdr:nvPicPr>
        <xdr:cNvPr id="2095" name="Picture 47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06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152400</xdr:colOff>
      <xdr:row>95</xdr:row>
      <xdr:rowOff>152400</xdr:rowOff>
    </xdr:to>
    <xdr:pic>
      <xdr:nvPicPr>
        <xdr:cNvPr id="2096" name="Picture 48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840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152400</xdr:colOff>
      <xdr:row>97</xdr:row>
      <xdr:rowOff>152400</xdr:rowOff>
    </xdr:to>
    <xdr:pic>
      <xdr:nvPicPr>
        <xdr:cNvPr id="2097" name="Picture 49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73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152400</xdr:colOff>
      <xdr:row>99</xdr:row>
      <xdr:rowOff>152400</xdr:rowOff>
    </xdr:to>
    <xdr:pic>
      <xdr:nvPicPr>
        <xdr:cNvPr id="2098" name="Picture 50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06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152400</xdr:colOff>
      <xdr:row>101</xdr:row>
      <xdr:rowOff>152400</xdr:rowOff>
    </xdr:to>
    <xdr:pic>
      <xdr:nvPicPr>
        <xdr:cNvPr id="2099" name="Picture 51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40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152400</xdr:rowOff>
    </xdr:to>
    <xdr:pic>
      <xdr:nvPicPr>
        <xdr:cNvPr id="2100" name="Picture 52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173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152400</xdr:colOff>
      <xdr:row>105</xdr:row>
      <xdr:rowOff>152400</xdr:rowOff>
    </xdr:to>
    <xdr:pic>
      <xdr:nvPicPr>
        <xdr:cNvPr id="2101" name="Picture 53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06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152400</xdr:colOff>
      <xdr:row>107</xdr:row>
      <xdr:rowOff>152400</xdr:rowOff>
    </xdr:to>
    <xdr:pic>
      <xdr:nvPicPr>
        <xdr:cNvPr id="2102" name="Picture 54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840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152400</xdr:colOff>
      <xdr:row>109</xdr:row>
      <xdr:rowOff>152400</xdr:rowOff>
    </xdr:to>
    <xdr:pic>
      <xdr:nvPicPr>
        <xdr:cNvPr id="2103" name="Picture 55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173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152400</xdr:colOff>
      <xdr:row>111</xdr:row>
      <xdr:rowOff>152400</xdr:rowOff>
    </xdr:to>
    <xdr:pic>
      <xdr:nvPicPr>
        <xdr:cNvPr id="2104" name="Picture 56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07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152400</xdr:colOff>
      <xdr:row>113</xdr:row>
      <xdr:rowOff>152400</xdr:rowOff>
    </xdr:to>
    <xdr:pic>
      <xdr:nvPicPr>
        <xdr:cNvPr id="2105" name="Picture 57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840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152400</xdr:colOff>
      <xdr:row>115</xdr:row>
      <xdr:rowOff>152400</xdr:rowOff>
    </xdr:to>
    <xdr:pic>
      <xdr:nvPicPr>
        <xdr:cNvPr id="2106" name="Picture 58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73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152400</xdr:colOff>
      <xdr:row>117</xdr:row>
      <xdr:rowOff>152400</xdr:rowOff>
    </xdr:to>
    <xdr:pic>
      <xdr:nvPicPr>
        <xdr:cNvPr id="2107" name="Picture 59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507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152400</xdr:colOff>
      <xdr:row>119</xdr:row>
      <xdr:rowOff>152400</xdr:rowOff>
    </xdr:to>
    <xdr:pic>
      <xdr:nvPicPr>
        <xdr:cNvPr id="2108" name="Picture 60" descr="http://discoverer.banrep.gov.co/discoverer/cabo/images/bi/t.gif">
          <a:extLst>
            <a:ext uri="{FF2B5EF4-FFF2-40B4-BE49-F238E27FC236}">
              <a16:creationId xmlns:a16="http://schemas.microsoft.com/office/drawing/2014/main" id="{00000000-0008-0000-04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840575"/>
          <a:ext cx="152400" cy="1524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stret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urns by year"/>
      <sheetName val="S&amp;P 500 &amp; Raw Data"/>
      <sheetName val="T. Bill rates"/>
      <sheetName val="T. Bond return"/>
      <sheetName val="Summary for ppt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>
        <row r="3">
          <cell r="B3">
            <v>17.66</v>
          </cell>
        </row>
        <row r="4">
          <cell r="B4">
            <v>24.35</v>
          </cell>
          <cell r="C4">
            <v>1.04705</v>
          </cell>
          <cell r="F4">
            <v>8.354708589799302E-3</v>
          </cell>
        </row>
        <row r="5">
          <cell r="B5">
            <v>21.45</v>
          </cell>
          <cell r="C5">
            <v>0.87944999999999995</v>
          </cell>
          <cell r="F5">
            <v>4.2038041563204259E-2</v>
          </cell>
        </row>
        <row r="6">
          <cell r="B6">
            <v>15.34</v>
          </cell>
          <cell r="C6">
            <v>0.72097999999999995</v>
          </cell>
          <cell r="F6">
            <v>4.5409314348970366E-2</v>
          </cell>
        </row>
        <row r="7">
          <cell r="B7">
            <v>8.1199999999999992</v>
          </cell>
          <cell r="C7">
            <v>0.49531999999999993</v>
          </cell>
          <cell r="F7">
            <v>-2.5588559619422531E-2</v>
          </cell>
        </row>
        <row r="8">
          <cell r="B8">
            <v>6.92</v>
          </cell>
          <cell r="C8">
            <v>0.49823999999999996</v>
          </cell>
          <cell r="F8">
            <v>8.7903069904773257E-2</v>
          </cell>
        </row>
        <row r="9">
          <cell r="B9">
            <v>9.9700000000000006</v>
          </cell>
          <cell r="C9">
            <v>0.40877000000000002</v>
          </cell>
          <cell r="F9">
            <v>1.8552720891857361E-2</v>
          </cell>
        </row>
        <row r="10">
          <cell r="B10">
            <v>9.5</v>
          </cell>
          <cell r="C10">
            <v>0.35149999999999998</v>
          </cell>
          <cell r="F10">
            <v>7.9634426179656104E-2</v>
          </cell>
        </row>
        <row r="11">
          <cell r="B11">
            <v>13.43</v>
          </cell>
          <cell r="C11">
            <v>0.51034000000000002</v>
          </cell>
          <cell r="F11">
            <v>4.4720477296566127E-2</v>
          </cell>
        </row>
        <row r="12">
          <cell r="B12">
            <v>17.18</v>
          </cell>
          <cell r="C12">
            <v>0.54</v>
          </cell>
          <cell r="F12">
            <v>5.0178754045450601E-2</v>
          </cell>
        </row>
        <row r="13">
          <cell r="B13">
            <v>10.55</v>
          </cell>
          <cell r="C13">
            <v>0.55915000000000004</v>
          </cell>
          <cell r="F13">
            <v>1.379146059646038E-2</v>
          </cell>
        </row>
        <row r="14">
          <cell r="B14">
            <v>13.14</v>
          </cell>
          <cell r="C14">
            <v>0.49931999999999999</v>
          </cell>
          <cell r="F14">
            <v>4.2132485322046068E-2</v>
          </cell>
        </row>
        <row r="15">
          <cell r="B15">
            <v>12.46</v>
          </cell>
          <cell r="C15">
            <v>0.53578000000000003</v>
          </cell>
          <cell r="F15">
            <v>4.4122613942060671E-2</v>
          </cell>
        </row>
        <row r="16">
          <cell r="B16">
            <v>10.58</v>
          </cell>
          <cell r="C16">
            <v>0.55015999999999998</v>
          </cell>
          <cell r="F16">
            <v>5.4024815962845509E-2</v>
          </cell>
        </row>
        <row r="17">
          <cell r="B17">
            <v>8.69</v>
          </cell>
          <cell r="C17">
            <v>0.53877999999999993</v>
          </cell>
          <cell r="F17">
            <v>-2.0221975848580105E-2</v>
          </cell>
        </row>
        <row r="18">
          <cell r="B18">
            <v>9.77</v>
          </cell>
          <cell r="C18">
            <v>0.58619999999999994</v>
          </cell>
          <cell r="F18">
            <v>2.2948682374484164E-2</v>
          </cell>
        </row>
        <row r="19">
          <cell r="B19">
            <v>11.67</v>
          </cell>
          <cell r="C19">
            <v>0.54849000000000003</v>
          </cell>
          <cell r="F19">
            <v>2.4899999999999999E-2</v>
          </cell>
        </row>
        <row r="20">
          <cell r="B20">
            <v>13.28</v>
          </cell>
          <cell r="C20">
            <v>0.61087999999999998</v>
          </cell>
          <cell r="F20">
            <v>2.5776111579070303E-2</v>
          </cell>
        </row>
        <row r="21">
          <cell r="B21">
            <v>17.36</v>
          </cell>
          <cell r="C21">
            <v>0.67703999999999998</v>
          </cell>
          <cell r="F21">
            <v>3.8044173419237229E-2</v>
          </cell>
        </row>
        <row r="22">
          <cell r="B22">
            <v>15.3</v>
          </cell>
          <cell r="C22">
            <v>0.59670000000000001</v>
          </cell>
          <cell r="F22">
            <v>3.1283745375695685E-2</v>
          </cell>
        </row>
        <row r="23">
          <cell r="B23">
            <v>15.3</v>
          </cell>
          <cell r="C23">
            <v>0.79559999999999997</v>
          </cell>
          <cell r="F23">
            <v>9.1969680628322358E-3</v>
          </cell>
        </row>
        <row r="24">
          <cell r="B24">
            <v>15.2</v>
          </cell>
          <cell r="C24">
            <v>0.9728</v>
          </cell>
          <cell r="F24">
            <v>1.9510369413175046E-2</v>
          </cell>
        </row>
        <row r="25">
          <cell r="B25">
            <v>16.79</v>
          </cell>
          <cell r="C25">
            <v>1.1920899999999999</v>
          </cell>
          <cell r="F25">
            <v>4.6634851827973139E-2</v>
          </cell>
        </row>
        <row r="26">
          <cell r="B26">
            <v>20.43</v>
          </cell>
          <cell r="C26">
            <v>1.5322499999999999</v>
          </cell>
          <cell r="F26">
            <v>4.2959574171096103E-3</v>
          </cell>
        </row>
        <row r="27">
          <cell r="B27">
            <v>23.77</v>
          </cell>
          <cell r="C27">
            <v>1.4975099999999999</v>
          </cell>
          <cell r="F27">
            <v>-2.9531392208319886E-3</v>
          </cell>
        </row>
        <row r="28">
          <cell r="B28">
            <v>26.57</v>
          </cell>
          <cell r="C28">
            <v>1.5144900000000001</v>
          </cell>
          <cell r="F28">
            <v>2.2679961918305656E-2</v>
          </cell>
        </row>
        <row r="29">
          <cell r="B29">
            <v>24.81</v>
          </cell>
          <cell r="C29">
            <v>1.4389799999999999</v>
          </cell>
          <cell r="F29">
            <v>4.1438402589088513E-2</v>
          </cell>
        </row>
        <row r="30">
          <cell r="B30">
            <v>35.979999999999997</v>
          </cell>
          <cell r="C30">
            <v>1.8709599999999997</v>
          </cell>
          <cell r="F30">
            <v>3.2898034558095555E-2</v>
          </cell>
        </row>
        <row r="31">
          <cell r="B31">
            <v>45.48</v>
          </cell>
          <cell r="C31">
            <v>2.2285200000000001</v>
          </cell>
          <cell r="F31">
            <v>-1.3364391288618781E-2</v>
          </cell>
        </row>
        <row r="32">
          <cell r="B32">
            <v>46.67</v>
          </cell>
          <cell r="C32">
            <v>2.1934900000000002</v>
          </cell>
          <cell r="F32">
            <v>-2.2557738173154165E-2</v>
          </cell>
        </row>
        <row r="33">
          <cell r="B33">
            <v>39.99</v>
          </cell>
          <cell r="C33">
            <v>1.79955</v>
          </cell>
          <cell r="F33">
            <v>6.7970128466249904E-2</v>
          </cell>
        </row>
        <row r="34">
          <cell r="B34">
            <v>55.21</v>
          </cell>
          <cell r="C34">
            <v>2.2636100000000003</v>
          </cell>
          <cell r="F34">
            <v>-2.0990181755274694E-2</v>
          </cell>
        </row>
        <row r="35">
          <cell r="B35">
            <v>59.89</v>
          </cell>
          <cell r="C35">
            <v>1.9763700000000002</v>
          </cell>
          <cell r="F35">
            <v>-2.6466312591385065E-2</v>
          </cell>
        </row>
        <row r="36">
          <cell r="B36">
            <v>58.11</v>
          </cell>
          <cell r="C36">
            <v>1.9815510000000001</v>
          </cell>
          <cell r="F36">
            <v>0.11639503690963365</v>
          </cell>
        </row>
        <row r="37">
          <cell r="B37">
            <v>71.55</v>
          </cell>
          <cell r="C37">
            <v>2.0391750000000002</v>
          </cell>
          <cell r="F37">
            <v>2.0609208076323167E-2</v>
          </cell>
        </row>
        <row r="38">
          <cell r="B38">
            <v>63.1</v>
          </cell>
          <cell r="C38">
            <v>2.1454</v>
          </cell>
          <cell r="F38">
            <v>5.693544054008462E-2</v>
          </cell>
        </row>
        <row r="39">
          <cell r="B39">
            <v>75.02</v>
          </cell>
          <cell r="C39">
            <v>2.3481260000000002</v>
          </cell>
          <cell r="F39">
            <v>1.6841620739546127E-2</v>
          </cell>
        </row>
        <row r="40">
          <cell r="B40">
            <v>84.75</v>
          </cell>
          <cell r="C40">
            <v>2.5848749999999998</v>
          </cell>
          <cell r="F40">
            <v>3.7280648911540815E-2</v>
          </cell>
        </row>
        <row r="41">
          <cell r="B41">
            <v>92.43</v>
          </cell>
          <cell r="C41">
            <v>2.8283580000000001</v>
          </cell>
          <cell r="F41">
            <v>7.1885509359262342E-3</v>
          </cell>
        </row>
        <row r="42">
          <cell r="B42">
            <v>80.33</v>
          </cell>
          <cell r="C42">
            <v>2.8838469999999998</v>
          </cell>
          <cell r="F42">
            <v>2.9079409324299622E-2</v>
          </cell>
        </row>
        <row r="43">
          <cell r="B43">
            <v>96.47</v>
          </cell>
          <cell r="C43">
            <v>2.9809230000000002</v>
          </cell>
          <cell r="F43">
            <v>-1.5806209932824666E-2</v>
          </cell>
        </row>
        <row r="44">
          <cell r="B44">
            <v>103.86</v>
          </cell>
          <cell r="C44">
            <v>3.0430980000000001</v>
          </cell>
          <cell r="F44">
            <v>3.2746196950768365E-2</v>
          </cell>
        </row>
        <row r="45">
          <cell r="B45">
            <v>92.06</v>
          </cell>
          <cell r="C45">
            <v>3.2405119999999998</v>
          </cell>
          <cell r="F45">
            <v>-5.0140493209926106E-2</v>
          </cell>
        </row>
        <row r="46">
          <cell r="B46">
            <v>92.15</v>
          </cell>
          <cell r="C46">
            <v>3.1883900000000001</v>
          </cell>
          <cell r="F46">
            <v>0.16754737183412338</v>
          </cell>
        </row>
        <row r="47">
          <cell r="B47">
            <v>102.09</v>
          </cell>
          <cell r="C47">
            <v>3.16479</v>
          </cell>
          <cell r="F47">
            <v>9.7868966197122972E-2</v>
          </cell>
        </row>
        <row r="48">
          <cell r="B48">
            <v>118.05</v>
          </cell>
          <cell r="C48">
            <v>3.1873499999999999</v>
          </cell>
          <cell r="F48">
            <v>2.818449050444969E-2</v>
          </cell>
        </row>
        <row r="49">
          <cell r="B49">
            <v>97.55</v>
          </cell>
          <cell r="C49">
            <v>3.6093500000000001</v>
          </cell>
          <cell r="F49">
            <v>3.6586646024150085E-2</v>
          </cell>
        </row>
        <row r="50">
          <cell r="B50">
            <v>68.56</v>
          </cell>
          <cell r="C50">
            <v>3.7228080000000001</v>
          </cell>
          <cell r="F50">
            <v>1.9886086932378574E-2</v>
          </cell>
        </row>
        <row r="51">
          <cell r="B51">
            <v>90.19</v>
          </cell>
          <cell r="C51">
            <v>3.7338659999999999</v>
          </cell>
          <cell r="F51">
            <v>3.6052536026033838E-2</v>
          </cell>
        </row>
        <row r="52">
          <cell r="B52">
            <v>107.46</v>
          </cell>
          <cell r="C52">
            <v>4.2231779999999999</v>
          </cell>
          <cell r="F52">
            <v>0.1598456074290921</v>
          </cell>
        </row>
        <row r="53">
          <cell r="B53">
            <v>95.1</v>
          </cell>
          <cell r="C53">
            <v>4.85961</v>
          </cell>
          <cell r="F53">
            <v>1.2899606071070449E-2</v>
          </cell>
        </row>
        <row r="54">
          <cell r="B54">
            <v>96.11</v>
          </cell>
          <cell r="C54">
            <v>5.1803290000000004</v>
          </cell>
          <cell r="F54">
            <v>-7.7758069075086478E-3</v>
          </cell>
        </row>
        <row r="55">
          <cell r="B55">
            <v>107.94</v>
          </cell>
          <cell r="C55">
            <v>5.9690820000000002</v>
          </cell>
          <cell r="F55">
            <v>6.7072031247235459E-3</v>
          </cell>
        </row>
        <row r="56">
          <cell r="B56">
            <v>135.76</v>
          </cell>
          <cell r="C56">
            <v>6.4350240000000003</v>
          </cell>
          <cell r="F56">
            <v>-2.989744251999403E-2</v>
          </cell>
        </row>
        <row r="57">
          <cell r="B57">
            <v>122.55</v>
          </cell>
          <cell r="C57">
            <v>6.8260350000000001</v>
          </cell>
          <cell r="F57">
            <v>8.1992153358923542E-2</v>
          </cell>
        </row>
        <row r="58">
          <cell r="B58">
            <v>140.63999999999999</v>
          </cell>
          <cell r="C58">
            <v>6.9335519999999997</v>
          </cell>
          <cell r="F58">
            <v>0.32814549486295586</v>
          </cell>
        </row>
        <row r="59">
          <cell r="B59">
            <v>164.93</v>
          </cell>
          <cell r="C59">
            <v>7.1249760000000002</v>
          </cell>
          <cell r="F59">
            <v>3.2002094451429264E-2</v>
          </cell>
        </row>
        <row r="60">
          <cell r="B60">
            <v>167.24</v>
          </cell>
          <cell r="C60">
            <v>7.8268319999999996</v>
          </cell>
          <cell r="F60">
            <v>0.13733364344102345</v>
          </cell>
        </row>
        <row r="61">
          <cell r="B61">
            <v>211.28</v>
          </cell>
          <cell r="C61">
            <v>8.1976639999999996</v>
          </cell>
          <cell r="F61">
            <v>0.2571248821260641</v>
          </cell>
        </row>
        <row r="62">
          <cell r="B62">
            <v>242.17</v>
          </cell>
          <cell r="C62">
            <v>8.1853459999999991</v>
          </cell>
          <cell r="F62">
            <v>0.24284215141767618</v>
          </cell>
        </row>
        <row r="63">
          <cell r="B63">
            <v>247.08</v>
          </cell>
          <cell r="C63">
            <v>9.1666679999999996</v>
          </cell>
          <cell r="F63">
            <v>-4.9605089379262279E-2</v>
          </cell>
        </row>
        <row r="64">
          <cell r="B64">
            <v>277.72000000000003</v>
          </cell>
          <cell r="C64">
            <v>10.220096</v>
          </cell>
          <cell r="F64">
            <v>8.2235958434841674E-2</v>
          </cell>
        </row>
        <row r="65">
          <cell r="B65">
            <v>353.4</v>
          </cell>
          <cell r="C65">
            <v>11.73288</v>
          </cell>
          <cell r="F65">
            <v>0.17693647159446219</v>
          </cell>
        </row>
        <row r="66">
          <cell r="B66">
            <v>330.22</v>
          </cell>
          <cell r="C66">
            <v>12.350228</v>
          </cell>
          <cell r="F66">
            <v>6.2353753335533363E-2</v>
          </cell>
        </row>
        <row r="67">
          <cell r="B67">
            <v>417.09</v>
          </cell>
          <cell r="C67">
            <v>12.971499</v>
          </cell>
          <cell r="F67">
            <v>0.15004510019517303</v>
          </cell>
        </row>
        <row r="68">
          <cell r="B68">
            <v>435.71</v>
          </cell>
          <cell r="C68">
            <v>12.635590000000001</v>
          </cell>
          <cell r="F68">
            <v>9.3616373162079422E-2</v>
          </cell>
        </row>
        <row r="69">
          <cell r="B69">
            <v>466.45</v>
          </cell>
          <cell r="C69">
            <v>12.68744</v>
          </cell>
          <cell r="F69">
            <v>0.14210957589263107</v>
          </cell>
        </row>
        <row r="70">
          <cell r="B70">
            <v>459.27</v>
          </cell>
          <cell r="C70">
            <v>13.364757000000001</v>
          </cell>
          <cell r="F70">
            <v>-8.0366555509985921E-2</v>
          </cell>
        </row>
        <row r="71">
          <cell r="B71">
            <v>615.92999999999995</v>
          </cell>
          <cell r="C71">
            <v>14.16639</v>
          </cell>
          <cell r="F71">
            <v>0.23480780112538907</v>
          </cell>
        </row>
        <row r="72">
          <cell r="B72">
            <v>747.74</v>
          </cell>
          <cell r="C72">
            <v>14.888873999999999</v>
          </cell>
          <cell r="F72">
            <v>1.428607793401844E-2</v>
          </cell>
        </row>
        <row r="73">
          <cell r="B73">
            <v>970.43</v>
          </cell>
          <cell r="C73">
            <v>15.522</v>
          </cell>
          <cell r="F73">
            <v>9.939130272977531E-2</v>
          </cell>
        </row>
        <row r="74">
          <cell r="B74">
            <v>1229.23</v>
          </cell>
          <cell r="C74">
            <v>16.2</v>
          </cell>
          <cell r="F74">
            <v>0.14921431922606215</v>
          </cell>
        </row>
        <row r="75">
          <cell r="B75">
            <v>1469.25</v>
          </cell>
          <cell r="C75">
            <v>16.709</v>
          </cell>
          <cell r="F75">
            <v>-8.2542147962685761E-2</v>
          </cell>
        </row>
        <row r="76">
          <cell r="B76">
            <v>1320.28</v>
          </cell>
          <cell r="C76">
            <v>16.27</v>
          </cell>
          <cell r="F76">
            <v>0.16655267125397488</v>
          </cell>
        </row>
        <row r="77">
          <cell r="B77">
            <v>1148.0899999999999</v>
          </cell>
          <cell r="C77">
            <v>15.74</v>
          </cell>
          <cell r="F77">
            <v>5.5721811892492555E-2</v>
          </cell>
        </row>
        <row r="78">
          <cell r="B78">
            <v>879.82</v>
          </cell>
          <cell r="C78">
            <v>16.079999999999998</v>
          </cell>
          <cell r="F78">
            <v>0.15116400378109285</v>
          </cell>
        </row>
        <row r="79">
          <cell r="B79">
            <v>1111.9100000000001</v>
          </cell>
          <cell r="C79">
            <v>17.39</v>
          </cell>
          <cell r="F79">
            <v>3.7531858817758529E-3</v>
          </cell>
        </row>
        <row r="80">
          <cell r="B80">
            <v>1211.92</v>
          </cell>
          <cell r="C80">
            <v>19.440000000000001</v>
          </cell>
          <cell r="F80">
            <v>4.490683702274547E-2</v>
          </cell>
        </row>
        <row r="81">
          <cell r="B81">
            <v>1248.29</v>
          </cell>
          <cell r="C81">
            <v>22.22</v>
          </cell>
          <cell r="F81">
            <v>2.8675329597779506E-2</v>
          </cell>
        </row>
        <row r="82">
          <cell r="B82">
            <v>1418.3</v>
          </cell>
          <cell r="C82">
            <v>24.88</v>
          </cell>
          <cell r="F82">
            <v>1.9610012417568386E-2</v>
          </cell>
        </row>
        <row r="83">
          <cell r="B83">
            <v>1468.36</v>
          </cell>
          <cell r="C83">
            <v>27.73</v>
          </cell>
          <cell r="F83">
            <v>0.10209921930012807</v>
          </cell>
        </row>
        <row r="84">
          <cell r="B84">
            <v>903.25</v>
          </cell>
          <cell r="C84">
            <v>28.05</v>
          </cell>
          <cell r="F84">
            <v>0.20101279926977011</v>
          </cell>
        </row>
        <row r="85">
          <cell r="B85">
            <v>1115.0999999999999</v>
          </cell>
          <cell r="C85">
            <v>22.31</v>
          </cell>
          <cell r="F85">
            <v>-0.11116695313259162</v>
          </cell>
        </row>
      </sheetData>
      <sheetData sheetId="2">
        <row r="13">
          <cell r="G13">
            <v>3.225E-3</v>
          </cell>
        </row>
        <row r="14">
          <cell r="G14">
            <v>1.7499999999999998E-3</v>
          </cell>
        </row>
        <row r="15">
          <cell r="G15">
            <v>1.7000000000000001E-3</v>
          </cell>
        </row>
        <row r="16">
          <cell r="G16">
            <v>3.0250000000000003E-3</v>
          </cell>
        </row>
        <row r="17">
          <cell r="G17">
            <v>7.7499999999999997E-4</v>
          </cell>
        </row>
        <row r="18">
          <cell r="G18">
            <v>3.7500000000000006E-4</v>
          </cell>
        </row>
        <row r="19">
          <cell r="G19">
            <v>2.5000000000000001E-4</v>
          </cell>
        </row>
        <row r="20">
          <cell r="G20">
            <v>8.2499999999999989E-4</v>
          </cell>
        </row>
        <row r="21">
          <cell r="G21">
            <v>3.3750000000000004E-3</v>
          </cell>
        </row>
        <row r="22">
          <cell r="G22">
            <v>3.8E-3</v>
          </cell>
        </row>
        <row r="23">
          <cell r="G23">
            <v>3.8E-3</v>
          </cell>
        </row>
        <row r="24">
          <cell r="G24">
            <v>3.8E-3</v>
          </cell>
        </row>
        <row r="25">
          <cell r="G25">
            <v>3.8E-3</v>
          </cell>
        </row>
        <row r="26">
          <cell r="G26">
            <v>5.6750000000000004E-3</v>
          </cell>
        </row>
        <row r="27">
          <cell r="G27">
            <v>1.0225E-2</v>
          </cell>
        </row>
        <row r="28">
          <cell r="G28">
            <v>1.1025E-2</v>
          </cell>
        </row>
        <row r="29">
          <cell r="G29">
            <v>1.1724999999999999E-2</v>
          </cell>
        </row>
        <row r="30">
          <cell r="G30">
            <v>1.4775E-2</v>
          </cell>
        </row>
        <row r="31">
          <cell r="G31">
            <v>1.6725E-2</v>
          </cell>
        </row>
        <row r="32">
          <cell r="G32">
            <v>1.8925000000000001E-2</v>
          </cell>
        </row>
        <row r="33">
          <cell r="G33">
            <v>9.6249999999999999E-3</v>
          </cell>
        </row>
        <row r="34">
          <cell r="G34">
            <v>1.66E-2</v>
          </cell>
        </row>
        <row r="35">
          <cell r="G35">
            <v>2.5550000000000003E-2</v>
          </cell>
        </row>
        <row r="36">
          <cell r="G36">
            <v>3.2300000000000002E-2</v>
          </cell>
        </row>
        <row r="37">
          <cell r="G37">
            <v>1.7774999999999999E-2</v>
          </cell>
        </row>
        <row r="38">
          <cell r="G38">
            <v>3.2549999999999996E-2</v>
          </cell>
        </row>
        <row r="39">
          <cell r="G39">
            <v>3.0449999999999998E-2</v>
          </cell>
        </row>
        <row r="40">
          <cell r="G40">
            <v>2.2675000000000001E-2</v>
          </cell>
        </row>
        <row r="41">
          <cell r="G41">
            <v>2.7775000000000005E-2</v>
          </cell>
        </row>
        <row r="42">
          <cell r="G42">
            <v>3.1100000000000003E-2</v>
          </cell>
        </row>
        <row r="43">
          <cell r="G43">
            <v>3.5049999999999998E-2</v>
          </cell>
        </row>
        <row r="44">
          <cell r="G44">
            <v>3.9024999999999997E-2</v>
          </cell>
        </row>
        <row r="45">
          <cell r="G45">
            <v>4.8399999999999999E-2</v>
          </cell>
        </row>
        <row r="46">
          <cell r="G46">
            <v>4.3324999999999995E-2</v>
          </cell>
        </row>
        <row r="47">
          <cell r="G47">
            <v>5.2600000000000001E-2</v>
          </cell>
        </row>
        <row r="48">
          <cell r="G48">
            <v>6.5625000000000003E-2</v>
          </cell>
        </row>
        <row r="49">
          <cell r="G49">
            <v>6.6849999999999993E-2</v>
          </cell>
        </row>
        <row r="50">
          <cell r="G50">
            <v>4.5400000000000003E-2</v>
          </cell>
        </row>
        <row r="51">
          <cell r="G51">
            <v>3.9525000000000005E-2</v>
          </cell>
        </row>
        <row r="52">
          <cell r="G52">
            <v>6.724999999999999E-2</v>
          </cell>
        </row>
        <row r="53">
          <cell r="G53">
            <v>7.7775000000000011E-2</v>
          </cell>
        </row>
        <row r="54">
          <cell r="G54">
            <v>5.9900000000000002E-2</v>
          </cell>
        </row>
        <row r="55">
          <cell r="G55">
            <v>4.9700000000000008E-2</v>
          </cell>
        </row>
        <row r="56">
          <cell r="G56">
            <v>5.1275000000000001E-2</v>
          </cell>
        </row>
        <row r="57">
          <cell r="G57">
            <v>6.9325000000000012E-2</v>
          </cell>
        </row>
        <row r="58">
          <cell r="G58">
            <v>9.9375000000000005E-2</v>
          </cell>
        </row>
        <row r="59">
          <cell r="G59">
            <v>0.11219999999999999</v>
          </cell>
        </row>
        <row r="60">
          <cell r="G60">
            <v>0.14299999999999999</v>
          </cell>
        </row>
        <row r="61">
          <cell r="G61">
            <v>0.1101</v>
          </cell>
        </row>
        <row r="62">
          <cell r="G62">
            <v>8.4474999999999995E-2</v>
          </cell>
        </row>
        <row r="63">
          <cell r="G63">
            <v>9.6125000000000002E-2</v>
          </cell>
        </row>
        <row r="64">
          <cell r="G64">
            <v>7.4874999999999997E-2</v>
          </cell>
        </row>
        <row r="65">
          <cell r="G65">
            <v>6.0350000000000001E-2</v>
          </cell>
        </row>
        <row r="66">
          <cell r="G66">
            <v>5.7224999999999998E-2</v>
          </cell>
        </row>
        <row r="67">
          <cell r="G67">
            <v>6.4499999999999988E-2</v>
          </cell>
        </row>
        <row r="68">
          <cell r="G68">
            <v>8.1099999999999992E-2</v>
          </cell>
        </row>
        <row r="69">
          <cell r="G69">
            <v>7.5500000000000012E-2</v>
          </cell>
        </row>
        <row r="70">
          <cell r="G70">
            <v>5.6100000000000011E-2</v>
          </cell>
        </row>
        <row r="71">
          <cell r="G71">
            <v>3.4049999999999997E-2</v>
          </cell>
        </row>
        <row r="72">
          <cell r="G72">
            <v>2.9825000000000001E-2</v>
          </cell>
        </row>
        <row r="73">
          <cell r="G73">
            <v>3.9850000000000003E-2</v>
          </cell>
        </row>
        <row r="74">
          <cell r="G74">
            <v>5.5150000000000005E-2</v>
          </cell>
        </row>
        <row r="75">
          <cell r="G75">
            <v>5.0224999999999999E-2</v>
          </cell>
        </row>
        <row r="76">
          <cell r="G76">
            <v>5.0525E-2</v>
          </cell>
        </row>
        <row r="77">
          <cell r="G77">
            <v>4.7274999999999998E-2</v>
          </cell>
        </row>
        <row r="78">
          <cell r="G78">
            <v>4.5100000000000001E-2</v>
          </cell>
        </row>
        <row r="79">
          <cell r="G79">
            <v>5.7625000000000003E-2</v>
          </cell>
        </row>
        <row r="80">
          <cell r="G80">
            <v>3.6725000000000001E-2</v>
          </cell>
        </row>
        <row r="81">
          <cell r="G81">
            <v>1.6574999999999999E-2</v>
          </cell>
        </row>
        <row r="82">
          <cell r="G82">
            <v>1.03E-2</v>
          </cell>
        </row>
        <row r="83">
          <cell r="G83">
            <v>1.2275000000000001E-2</v>
          </cell>
        </row>
        <row r="84">
          <cell r="G84">
            <v>3.0099999999999998E-2</v>
          </cell>
        </row>
        <row r="85">
          <cell r="G85">
            <v>4.6775000000000004E-2</v>
          </cell>
        </row>
        <row r="86">
          <cell r="G86">
            <v>4.6425000000000001E-2</v>
          </cell>
        </row>
        <row r="87">
          <cell r="G87">
            <v>1.585E-2</v>
          </cell>
        </row>
        <row r="88">
          <cell r="G88">
            <v>1.3500000000000001E-3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loomberg.com/" TargetMode="External"/><Relationship Id="rId1" Type="http://schemas.openxmlformats.org/officeDocument/2006/relationships/hyperlink" Target="http://www.cesla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12" sqref="G12"/>
    </sheetView>
  </sheetViews>
  <sheetFormatPr baseColWidth="10" defaultRowHeight="12.6"/>
  <cols>
    <col min="1" max="1" width="20" bestFit="1" customWidth="1"/>
    <col min="2" max="6" width="6.90625" customWidth="1"/>
    <col min="8" max="8" width="3.453125" customWidth="1"/>
    <col min="9" max="9" width="11.453125" bestFit="1" customWidth="1"/>
    <col min="10" max="10" width="15.453125" bestFit="1" customWidth="1"/>
    <col min="11" max="11" width="7.453125" bestFit="1" customWidth="1"/>
    <col min="12" max="12" width="7.08984375" bestFit="1" customWidth="1"/>
  </cols>
  <sheetData>
    <row r="1" spans="1:14" ht="13.2" thickBot="1"/>
    <row r="2" spans="1:14">
      <c r="A2" s="16" t="s">
        <v>19</v>
      </c>
      <c r="B2" s="16" t="s">
        <v>4</v>
      </c>
      <c r="C2" s="4"/>
      <c r="D2" s="4"/>
      <c r="E2" s="4"/>
      <c r="F2" s="4"/>
      <c r="I2" s="38" t="s">
        <v>11</v>
      </c>
      <c r="J2" s="39"/>
      <c r="K2" s="39"/>
      <c r="L2" s="40"/>
    </row>
    <row r="3" spans="1:14">
      <c r="A3" s="3" t="s">
        <v>6</v>
      </c>
      <c r="B3" s="17">
        <v>1.7000000000000001E-2</v>
      </c>
      <c r="C3" s="44" t="s">
        <v>171</v>
      </c>
      <c r="D3" s="3"/>
      <c r="E3" s="3"/>
      <c r="F3" s="3"/>
      <c r="I3" s="41" t="s">
        <v>28</v>
      </c>
      <c r="J3" s="42" t="s">
        <v>0</v>
      </c>
      <c r="K3" s="41" t="s">
        <v>20</v>
      </c>
      <c r="L3" s="41" t="s">
        <v>34</v>
      </c>
    </row>
    <row r="4" spans="1:14">
      <c r="A4" s="3" t="s">
        <v>7</v>
      </c>
      <c r="B4" s="17">
        <v>2.1000000000000001E-2</v>
      </c>
      <c r="C4" s="44" t="s">
        <v>88</v>
      </c>
      <c r="D4" s="3"/>
      <c r="E4" s="3"/>
      <c r="F4" s="3"/>
      <c r="I4" s="35" t="s">
        <v>21</v>
      </c>
      <c r="J4" s="31">
        <v>0</v>
      </c>
      <c r="K4" s="32">
        <v>0.05</v>
      </c>
      <c r="L4" s="33">
        <f t="shared" ref="L4:L18" si="0">$B$3+$B$4+K4</f>
        <v>8.8000000000000009E-2</v>
      </c>
      <c r="M4" s="22"/>
      <c r="N4" s="25"/>
    </row>
    <row r="5" spans="1:14">
      <c r="A5" s="3" t="s">
        <v>8</v>
      </c>
      <c r="B5" s="17">
        <v>2.7099999999999999E-2</v>
      </c>
      <c r="C5" t="s">
        <v>172</v>
      </c>
      <c r="D5" s="3"/>
      <c r="E5" s="3"/>
      <c r="F5" s="3"/>
      <c r="I5" s="35" t="s">
        <v>21</v>
      </c>
      <c r="J5" s="31">
        <v>0.1</v>
      </c>
      <c r="K5" s="32">
        <v>0.06</v>
      </c>
      <c r="L5" s="23">
        <f t="shared" si="0"/>
        <v>9.8000000000000004E-2</v>
      </c>
      <c r="M5" s="22"/>
      <c r="N5" s="25"/>
    </row>
    <row r="6" spans="1:14">
      <c r="A6" s="3" t="s">
        <v>13</v>
      </c>
      <c r="B6" s="18">
        <v>0.77</v>
      </c>
      <c r="C6" s="3" t="s">
        <v>172</v>
      </c>
      <c r="D6" s="3"/>
      <c r="E6" s="3"/>
      <c r="F6" s="3"/>
      <c r="I6" s="36" t="s">
        <v>22</v>
      </c>
      <c r="J6" s="29">
        <v>0.2</v>
      </c>
      <c r="K6" s="26">
        <v>7.0000000000000007E-2</v>
      </c>
      <c r="L6" s="23">
        <f t="shared" si="0"/>
        <v>0.10800000000000001</v>
      </c>
      <c r="M6" s="22"/>
      <c r="N6" s="25"/>
    </row>
    <row r="7" spans="1:14">
      <c r="A7" s="3" t="s">
        <v>18</v>
      </c>
      <c r="B7" s="19">
        <v>0.35</v>
      </c>
      <c r="C7" s="3"/>
      <c r="D7" s="3"/>
      <c r="E7" s="3"/>
      <c r="F7" s="3"/>
      <c r="I7" s="36" t="s">
        <v>29</v>
      </c>
      <c r="J7" s="29">
        <f t="shared" ref="J7:J18" si="1">J6+$B$8/2</f>
        <v>0.25</v>
      </c>
      <c r="K7" s="26">
        <v>0.08</v>
      </c>
      <c r="L7" s="23">
        <f t="shared" si="0"/>
        <v>0.11800000000000001</v>
      </c>
      <c r="M7" s="22"/>
      <c r="N7" s="25"/>
    </row>
    <row r="8" spans="1:14">
      <c r="A8" t="s">
        <v>2</v>
      </c>
      <c r="B8" s="21">
        <v>0.1</v>
      </c>
      <c r="I8" s="36" t="s">
        <v>23</v>
      </c>
      <c r="J8" s="29">
        <f t="shared" si="1"/>
        <v>0.3</v>
      </c>
      <c r="K8" s="26">
        <v>0.09</v>
      </c>
      <c r="L8" s="23">
        <f t="shared" si="0"/>
        <v>0.128</v>
      </c>
      <c r="M8" s="22"/>
      <c r="N8" s="25"/>
    </row>
    <row r="9" spans="1:14">
      <c r="A9" s="4" t="s">
        <v>14</v>
      </c>
      <c r="B9" s="4"/>
      <c r="C9" s="4"/>
      <c r="D9" s="4"/>
      <c r="E9" s="4"/>
      <c r="F9" s="4"/>
      <c r="G9" s="4" t="s">
        <v>37</v>
      </c>
      <c r="I9" s="36" t="s">
        <v>27</v>
      </c>
      <c r="J9" s="29">
        <f t="shared" si="1"/>
        <v>0.35</v>
      </c>
      <c r="K9" s="26">
        <v>0.1</v>
      </c>
      <c r="L9" s="23">
        <f t="shared" si="0"/>
        <v>0.13800000000000001</v>
      </c>
      <c r="M9" s="22"/>
      <c r="N9" s="25"/>
    </row>
    <row r="10" spans="1:14">
      <c r="A10" s="3" t="s">
        <v>15</v>
      </c>
      <c r="B10" s="3"/>
      <c r="C10" s="3"/>
      <c r="D10" s="3"/>
      <c r="E10" s="3"/>
      <c r="F10" s="3"/>
      <c r="G10" s="19">
        <v>6.5000000000000002E-2</v>
      </c>
      <c r="I10" s="36" t="s">
        <v>24</v>
      </c>
      <c r="J10" s="29">
        <f t="shared" si="1"/>
        <v>0.39999999999999997</v>
      </c>
      <c r="K10" s="26">
        <v>0.11</v>
      </c>
      <c r="L10" s="23">
        <f t="shared" si="0"/>
        <v>0.14800000000000002</v>
      </c>
      <c r="M10" s="22"/>
      <c r="N10" s="25"/>
    </row>
    <row r="11" spans="1:14">
      <c r="A11" s="3" t="s">
        <v>16</v>
      </c>
      <c r="B11" s="3"/>
      <c r="C11" s="3"/>
      <c r="D11" s="3"/>
      <c r="E11" s="3"/>
      <c r="F11" s="3"/>
      <c r="G11" s="19">
        <v>1.4999999999999999E-2</v>
      </c>
      <c r="I11" s="36" t="s">
        <v>30</v>
      </c>
      <c r="J11" s="29">
        <f t="shared" si="1"/>
        <v>0.44999999999999996</v>
      </c>
      <c r="K11" s="26">
        <v>0.12</v>
      </c>
      <c r="L11" s="23">
        <f t="shared" si="0"/>
        <v>0.158</v>
      </c>
      <c r="M11" s="22"/>
      <c r="N11" s="25"/>
    </row>
    <row r="12" spans="1:14">
      <c r="A12" s="3" t="s">
        <v>17</v>
      </c>
      <c r="B12" s="3"/>
      <c r="C12" s="3"/>
      <c r="D12" s="3"/>
      <c r="E12" s="3"/>
      <c r="F12" s="3"/>
      <c r="G12" s="20">
        <v>0.05</v>
      </c>
      <c r="I12" s="36" t="s">
        <v>31</v>
      </c>
      <c r="J12" s="29">
        <f t="shared" si="1"/>
        <v>0.49999999999999994</v>
      </c>
      <c r="K12" s="26">
        <v>0.13</v>
      </c>
      <c r="L12" s="23">
        <f t="shared" si="0"/>
        <v>0.16800000000000001</v>
      </c>
      <c r="M12" s="22"/>
      <c r="N12" s="25"/>
    </row>
    <row r="13" spans="1:14">
      <c r="B13" s="22"/>
      <c r="I13" s="36" t="s">
        <v>25</v>
      </c>
      <c r="J13" s="29">
        <f t="shared" si="1"/>
        <v>0.54999999999999993</v>
      </c>
      <c r="K13" s="26">
        <v>0.14000000000000001</v>
      </c>
      <c r="L13" s="23">
        <f t="shared" si="0"/>
        <v>0.17800000000000002</v>
      </c>
      <c r="M13" s="22"/>
      <c r="N13" s="25"/>
    </row>
    <row r="14" spans="1:14">
      <c r="B14" s="25"/>
      <c r="I14" s="36" t="s">
        <v>32</v>
      </c>
      <c r="J14" s="29">
        <f t="shared" si="1"/>
        <v>0.6</v>
      </c>
      <c r="K14" s="26">
        <v>0.15</v>
      </c>
      <c r="L14" s="23">
        <f t="shared" si="0"/>
        <v>0.188</v>
      </c>
      <c r="M14" s="22"/>
      <c r="N14" s="25"/>
    </row>
    <row r="15" spans="1:14">
      <c r="I15" s="36" t="s">
        <v>26</v>
      </c>
      <c r="J15" s="29">
        <f t="shared" si="1"/>
        <v>0.65</v>
      </c>
      <c r="K15" s="26">
        <v>0.16</v>
      </c>
      <c r="L15" s="23">
        <f t="shared" si="0"/>
        <v>0.19800000000000001</v>
      </c>
      <c r="M15" s="22"/>
      <c r="N15" s="25"/>
    </row>
    <row r="16" spans="1:14">
      <c r="I16" s="36" t="s">
        <v>36</v>
      </c>
      <c r="J16" s="29">
        <f t="shared" si="1"/>
        <v>0.70000000000000007</v>
      </c>
      <c r="K16" s="26">
        <v>0.17</v>
      </c>
      <c r="L16" s="23">
        <f t="shared" si="0"/>
        <v>0.20800000000000002</v>
      </c>
      <c r="M16" s="22"/>
      <c r="N16" s="25"/>
    </row>
    <row r="17" spans="9:14">
      <c r="I17" s="36" t="s">
        <v>35</v>
      </c>
      <c r="J17" s="29">
        <f t="shared" si="1"/>
        <v>0.75000000000000011</v>
      </c>
      <c r="K17" s="26">
        <v>0.18</v>
      </c>
      <c r="L17" s="23">
        <f t="shared" si="0"/>
        <v>0.218</v>
      </c>
      <c r="M17" s="22"/>
      <c r="N17" s="25"/>
    </row>
    <row r="18" spans="9:14" ht="13.2" thickBot="1">
      <c r="I18" s="37" t="s">
        <v>33</v>
      </c>
      <c r="J18" s="30">
        <f t="shared" si="1"/>
        <v>0.80000000000000016</v>
      </c>
      <c r="K18" s="27">
        <v>0.19</v>
      </c>
      <c r="L18" s="24">
        <f t="shared" si="0"/>
        <v>0.22800000000000001</v>
      </c>
    </row>
  </sheetData>
  <phoneticPr fontId="7" type="noConversion"/>
  <hyperlinks>
    <hyperlink ref="C4" r:id="rId1"/>
    <hyperlink ref="C3" r:id="rId2"/>
  </hyperlinks>
  <pageMargins left="0.75" right="0.75" top="1" bottom="1" header="0" footer="0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A1:E23"/>
  <sheetViews>
    <sheetView workbookViewId="0">
      <selection activeCell="B9" sqref="B9"/>
    </sheetView>
  </sheetViews>
  <sheetFormatPr baseColWidth="10" defaultColWidth="10" defaultRowHeight="12.6"/>
  <cols>
    <col min="1" max="1" width="22.90625" style="3" bestFit="1" customWidth="1"/>
    <col min="2" max="2" width="21.1796875" style="3" customWidth="1"/>
    <col min="3" max="16384" width="10" style="3"/>
  </cols>
  <sheetData>
    <row r="1" spans="1:5" ht="13.2" thickBot="1">
      <c r="A1" s="1" t="s">
        <v>3</v>
      </c>
      <c r="B1" s="2"/>
    </row>
    <row r="2" spans="1:5">
      <c r="B2" s="4" t="s">
        <v>5</v>
      </c>
    </row>
    <row r="3" spans="1:5">
      <c r="B3" s="4">
        <v>2022</v>
      </c>
    </row>
    <row r="4" spans="1:5">
      <c r="A4" s="69" t="s">
        <v>173</v>
      </c>
      <c r="B4" s="4">
        <f>+'Beta EM'!K95</f>
        <v>0.41059566040244022</v>
      </c>
    </row>
    <row r="5" spans="1:5">
      <c r="A5" s="69" t="s">
        <v>174</v>
      </c>
      <c r="B5" s="43">
        <f>1/(1+B4)</f>
        <v>0.7089203717773398</v>
      </c>
    </row>
    <row r="6" spans="1:5">
      <c r="A6" s="3" t="s">
        <v>6</v>
      </c>
      <c r="B6" s="5">
        <v>3.4200000000000001E-2</v>
      </c>
    </row>
    <row r="7" spans="1:5">
      <c r="A7" s="3" t="s">
        <v>7</v>
      </c>
      <c r="B7" s="5">
        <v>4.2900000000000001E-2</v>
      </c>
    </row>
    <row r="8" spans="1:5">
      <c r="A8" s="3" t="s">
        <v>8</v>
      </c>
      <c r="B8" s="5">
        <v>5.1999999999999998E-2</v>
      </c>
    </row>
    <row r="9" spans="1:5">
      <c r="A9" s="3" t="s">
        <v>9</v>
      </c>
      <c r="B9" s="13">
        <f>Datos!$B$6*(1+(1-Datos!$B$7)*B4)</f>
        <v>0.97550312803142136</v>
      </c>
      <c r="D9" s="5"/>
      <c r="E9" s="94"/>
    </row>
    <row r="10" spans="1:5" ht="13.2" thickBot="1">
      <c r="A10" s="6" t="s">
        <v>10</v>
      </c>
      <c r="B10" s="7">
        <f>B6+B7+B8*B9</f>
        <v>0.12782616265763391</v>
      </c>
      <c r="D10" s="93"/>
    </row>
    <row r="11" spans="1:5" ht="13.2" thickTop="1">
      <c r="B11" s="5">
        <f>+POWER(1+B10,0.0833333333333333)-1</f>
        <v>1.0074747802555573E-2</v>
      </c>
    </row>
    <row r="12" spans="1:5">
      <c r="A12" s="8" t="s">
        <v>11</v>
      </c>
      <c r="B12" s="34"/>
    </row>
    <row r="13" spans="1:5">
      <c r="A13" s="69" t="s">
        <v>302</v>
      </c>
      <c r="B13" s="5">
        <v>0.35</v>
      </c>
    </row>
    <row r="14" spans="1:5">
      <c r="A14" s="69" t="s">
        <v>303</v>
      </c>
      <c r="B14" s="5">
        <f>7.71%+3%</f>
        <v>0.1071</v>
      </c>
    </row>
    <row r="15" spans="1:5" ht="13.2" thickBot="1">
      <c r="A15" s="9" t="s">
        <v>12</v>
      </c>
      <c r="B15" s="15">
        <f>B14*(1-B13)</f>
        <v>6.9614999999999996E-2</v>
      </c>
    </row>
    <row r="16" spans="1:5" ht="13.2" thickTop="1"/>
    <row r="17" spans="1:2" ht="13.2" thickBot="1">
      <c r="A17" s="10" t="s">
        <v>1</v>
      </c>
      <c r="B17" s="11">
        <f>B15*(1-B5)+B10*B5</f>
        <v>0.11088207907284103</v>
      </c>
    </row>
    <row r="18" spans="1:2" ht="13.2" thickTop="1">
      <c r="B18" s="5">
        <f>+POWER(1+B17,0.0833333333333333)-1</f>
        <v>8.8013700818894147E-3</v>
      </c>
    </row>
    <row r="19" spans="1:2">
      <c r="A19" s="28"/>
      <c r="B19" s="20"/>
    </row>
    <row r="20" spans="1:2">
      <c r="B20" s="5"/>
    </row>
    <row r="21" spans="1:2">
      <c r="B21" s="5"/>
    </row>
    <row r="22" spans="1:2">
      <c r="B22" s="13"/>
    </row>
    <row r="23" spans="1:2">
      <c r="A23" s="14"/>
      <c r="B23" s="12"/>
    </row>
  </sheetData>
  <phoneticPr fontId="12" type="noConversion"/>
  <pageMargins left="0.75" right="0.75" top="1" bottom="1" header="0" footer="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pane xSplit="1" ySplit="1" topLeftCell="B2" activePane="bottomRight" state="frozenSplit"/>
      <selection pane="topRight" activeCell="B70" sqref="B70"/>
      <selection pane="bottomLeft" activeCell="A2" sqref="A2"/>
      <selection pane="bottomRight" activeCell="H2" sqref="H2"/>
    </sheetView>
  </sheetViews>
  <sheetFormatPr baseColWidth="10" defaultColWidth="10.90625" defaultRowHeight="15.6"/>
  <cols>
    <col min="1" max="1" width="18.36328125" style="76" customWidth="1"/>
    <col min="2" max="2" width="15" style="76" bestFit="1" customWidth="1"/>
    <col min="3" max="3" width="11" style="76" customWidth="1"/>
    <col min="4" max="4" width="10.90625" style="76" customWidth="1"/>
    <col min="5" max="11" width="11" style="76" customWidth="1"/>
    <col min="12" max="12" width="13.453125" style="76" bestFit="1" customWidth="1"/>
    <col min="13" max="16384" width="10.90625" style="76"/>
  </cols>
  <sheetData>
    <row r="1" spans="1:12">
      <c r="A1" s="71" t="s">
        <v>89</v>
      </c>
      <c r="B1" s="72" t="s">
        <v>90</v>
      </c>
      <c r="C1" s="73" t="s">
        <v>91</v>
      </c>
      <c r="D1" s="72" t="s">
        <v>92</v>
      </c>
      <c r="E1" s="72" t="s">
        <v>93</v>
      </c>
      <c r="F1" s="72" t="s">
        <v>94</v>
      </c>
      <c r="G1" s="72" t="s">
        <v>95</v>
      </c>
      <c r="H1" s="72" t="s">
        <v>96</v>
      </c>
      <c r="I1" s="74"/>
      <c r="J1" s="74"/>
      <c r="K1" s="74"/>
      <c r="L1" s="75" t="s">
        <v>176</v>
      </c>
    </row>
    <row r="2" spans="1:12">
      <c r="A2" s="77" t="s">
        <v>38</v>
      </c>
      <c r="B2" s="78">
        <v>43</v>
      </c>
      <c r="C2" s="79">
        <v>0.64033266666666644</v>
      </c>
      <c r="D2" s="80">
        <v>0.12061352892813999</v>
      </c>
      <c r="E2" s="80">
        <v>0.11049150678952099</v>
      </c>
      <c r="F2" s="79">
        <v>0.57828982584858535</v>
      </c>
      <c r="G2" s="80">
        <v>0.14810063277464378</v>
      </c>
      <c r="H2" s="79">
        <v>0.67882410540118188</v>
      </c>
    </row>
    <row r="3" spans="1:12">
      <c r="A3" s="77" t="s">
        <v>39</v>
      </c>
      <c r="B3" s="78">
        <v>42</v>
      </c>
      <c r="C3" s="79">
        <v>0.49523148148148149</v>
      </c>
      <c r="D3" s="80">
        <v>0.15358075806204222</v>
      </c>
      <c r="E3" s="80">
        <v>8.8553262951485412E-2</v>
      </c>
      <c r="F3" s="79">
        <v>0.43442094223035227</v>
      </c>
      <c r="G3" s="80">
        <v>7.9469348905157611E-2</v>
      </c>
      <c r="H3" s="79">
        <v>0.47192447281757471</v>
      </c>
    </row>
    <row r="4" spans="1:12">
      <c r="A4" s="77" t="s">
        <v>40</v>
      </c>
      <c r="B4" s="78">
        <v>67</v>
      </c>
      <c r="C4" s="79">
        <v>0.59359101694915262</v>
      </c>
      <c r="D4" s="80">
        <v>0.6966729146539028</v>
      </c>
      <c r="E4" s="80">
        <v>0.10143996715585407</v>
      </c>
      <c r="F4" s="79">
        <v>0.36506157888525315</v>
      </c>
      <c r="G4" s="80">
        <v>7.4852339808021431E-2</v>
      </c>
      <c r="H4" s="79">
        <v>0.39459817561393251</v>
      </c>
    </row>
    <row r="5" spans="1:12">
      <c r="A5" s="77" t="s">
        <v>41</v>
      </c>
      <c r="B5" s="78">
        <v>655</v>
      </c>
      <c r="C5" s="79">
        <v>0.66761071563088481</v>
      </c>
      <c r="D5" s="80">
        <v>0.21278922905005468</v>
      </c>
      <c r="E5" s="80">
        <v>0.11794548518533259</v>
      </c>
      <c r="F5" s="79">
        <v>0.56210775534212376</v>
      </c>
      <c r="G5" s="80">
        <v>8.0762942027232817E-2</v>
      </c>
      <c r="H5" s="79">
        <v>0.61149379310464702</v>
      </c>
    </row>
    <row r="6" spans="1:12">
      <c r="A6" s="77" t="s">
        <v>42</v>
      </c>
      <c r="B6" s="78">
        <v>71</v>
      </c>
      <c r="C6" s="79">
        <v>0.69449746031746062</v>
      </c>
      <c r="D6" s="80">
        <v>0.12556961992935201</v>
      </c>
      <c r="E6" s="80">
        <v>0.12659259089594649</v>
      </c>
      <c r="F6" s="79">
        <v>0.62585751585405258</v>
      </c>
      <c r="G6" s="80">
        <v>0.11548407386235521</v>
      </c>
      <c r="H6" s="79">
        <v>0.70757065798344843</v>
      </c>
    </row>
    <row r="7" spans="1:12">
      <c r="A7" s="77" t="s">
        <v>43</v>
      </c>
      <c r="B7" s="78">
        <v>294</v>
      </c>
      <c r="C7" s="79">
        <v>0.72104702205882365</v>
      </c>
      <c r="D7" s="80">
        <v>0.14350344125102601</v>
      </c>
      <c r="E7" s="80">
        <v>0.16851692904758839</v>
      </c>
      <c r="F7" s="79">
        <v>0.64418270263284017</v>
      </c>
      <c r="G7" s="80">
        <v>4.8171971704619183E-2</v>
      </c>
      <c r="H7" s="79">
        <v>0.67678475888811596</v>
      </c>
    </row>
    <row r="8" spans="1:12">
      <c r="A8" s="77" t="s">
        <v>44</v>
      </c>
      <c r="B8" s="78">
        <v>447</v>
      </c>
      <c r="C8" s="79">
        <v>0.53661246913580274</v>
      </c>
      <c r="D8" s="80">
        <v>0.87492240669731469</v>
      </c>
      <c r="E8" s="80">
        <v>0.17771573888233722</v>
      </c>
      <c r="F8" s="79">
        <v>0.3120865241359414</v>
      </c>
      <c r="G8" s="80">
        <v>0.21250158754003462</v>
      </c>
      <c r="H8" s="79">
        <v>0.39630114702206742</v>
      </c>
    </row>
    <row r="9" spans="1:12">
      <c r="A9" s="77" t="s">
        <v>97</v>
      </c>
      <c r="B9" s="78">
        <v>74</v>
      </c>
      <c r="C9" s="79">
        <v>0.47658599999999995</v>
      </c>
      <c r="D9" s="80">
        <v>0.66844790336473359</v>
      </c>
      <c r="E9" s="80">
        <v>0.13825415717738876</v>
      </c>
      <c r="F9" s="79">
        <v>0.30239610550793888</v>
      </c>
      <c r="G9" s="80">
        <v>0.2683812598522527</v>
      </c>
      <c r="H9" s="79">
        <v>0.41332471260491671</v>
      </c>
    </row>
    <row r="10" spans="1:12">
      <c r="A10" s="77" t="s">
        <v>98</v>
      </c>
      <c r="B10" s="78">
        <v>44</v>
      </c>
      <c r="C10" s="79">
        <v>0.43193999999999999</v>
      </c>
      <c r="D10" s="80">
        <v>0.14373586052056342</v>
      </c>
      <c r="E10" s="80">
        <v>0.15113294280788547</v>
      </c>
      <c r="F10" s="79">
        <v>0.38496892617954276</v>
      </c>
      <c r="G10" s="80">
        <v>2.1818336861440454E-2</v>
      </c>
      <c r="H10" s="79">
        <v>0.39355565605712223</v>
      </c>
    </row>
    <row r="11" spans="1:12">
      <c r="A11" s="77" t="s">
        <v>99</v>
      </c>
      <c r="B11" s="78">
        <v>120</v>
      </c>
      <c r="C11" s="79">
        <v>0.46719326315789478</v>
      </c>
      <c r="D11" s="80">
        <v>6.3099600847619994E-2</v>
      </c>
      <c r="E11" s="80">
        <v>0.18360226744054101</v>
      </c>
      <c r="F11" s="79">
        <v>0.44430516217109306</v>
      </c>
      <c r="G11" s="80">
        <v>5.1677227657593985E-2</v>
      </c>
      <c r="H11" s="79">
        <v>0.46851681213310575</v>
      </c>
    </row>
    <row r="12" spans="1:12">
      <c r="A12" s="77" t="s">
        <v>45</v>
      </c>
      <c r="B12" s="78">
        <v>72</v>
      </c>
      <c r="C12" s="79">
        <v>0.64897037037037042</v>
      </c>
      <c r="D12" s="80">
        <v>6.5803424532325877E-2</v>
      </c>
      <c r="E12" s="80">
        <v>7.5682499723073199E-2</v>
      </c>
      <c r="F12" s="79">
        <v>0.61176106968385502</v>
      </c>
      <c r="G12" s="80">
        <v>4.8867444969689325E-2</v>
      </c>
      <c r="H12" s="79">
        <v>0.64319223061853814</v>
      </c>
    </row>
    <row r="13" spans="1:12">
      <c r="A13" s="77" t="s">
        <v>100</v>
      </c>
      <c r="B13" s="78">
        <v>55</v>
      </c>
      <c r="C13" s="79">
        <v>1.0464100000000005</v>
      </c>
      <c r="D13" s="80">
        <v>0.18751242344566188</v>
      </c>
      <c r="E13" s="80">
        <v>0.18838947150678559</v>
      </c>
      <c r="F13" s="79">
        <v>0.90819454493893781</v>
      </c>
      <c r="G13" s="80">
        <v>4.4050582599306012E-2</v>
      </c>
      <c r="H13" s="79">
        <v>0.95004456136224691</v>
      </c>
    </row>
    <row r="14" spans="1:12">
      <c r="A14" s="77" t="s">
        <v>101</v>
      </c>
      <c r="B14" s="78">
        <v>247</v>
      </c>
      <c r="C14" s="79">
        <v>0.69852536231884044</v>
      </c>
      <c r="D14" s="80">
        <v>0.22079615273205563</v>
      </c>
      <c r="E14" s="80">
        <v>0.11301520176400424</v>
      </c>
      <c r="F14" s="79">
        <v>0.58412806785406413</v>
      </c>
      <c r="G14" s="80">
        <v>0.27105928255027029</v>
      </c>
      <c r="H14" s="79">
        <v>0.80133823488101086</v>
      </c>
    </row>
    <row r="15" spans="1:12">
      <c r="A15" s="77" t="s">
        <v>46</v>
      </c>
      <c r="B15" s="78">
        <v>181</v>
      </c>
      <c r="C15" s="79">
        <v>0.5629176973684209</v>
      </c>
      <c r="D15" s="80">
        <v>0.25005894759006381</v>
      </c>
      <c r="E15" s="80">
        <v>0.1228666375360954</v>
      </c>
      <c r="F15" s="79">
        <v>0.46165957374840594</v>
      </c>
      <c r="G15" s="80">
        <v>6.2698191607479942E-2</v>
      </c>
      <c r="H15" s="79">
        <v>0.49254100399118583</v>
      </c>
    </row>
    <row r="16" spans="1:12">
      <c r="A16" s="77" t="s">
        <v>102</v>
      </c>
      <c r="B16" s="78">
        <v>98</v>
      </c>
      <c r="C16" s="79">
        <v>0.58794671428571432</v>
      </c>
      <c r="D16" s="80">
        <v>0.14138648592407616</v>
      </c>
      <c r="E16" s="80">
        <v>0.13297864228122455</v>
      </c>
      <c r="F16" s="79">
        <v>0.5237435564753673</v>
      </c>
      <c r="G16" s="80">
        <v>0.15378301621077395</v>
      </c>
      <c r="H16" s="79">
        <v>0.61892347531259218</v>
      </c>
    </row>
    <row r="17" spans="1:8">
      <c r="A17" s="77" t="s">
        <v>47</v>
      </c>
      <c r="B17" s="78">
        <v>23</v>
      </c>
      <c r="C17" s="79">
        <v>0.52501684210526312</v>
      </c>
      <c r="D17" s="80">
        <v>0.14213238711885276</v>
      </c>
      <c r="E17" s="80">
        <v>0.17521570389252467</v>
      </c>
      <c r="F17" s="79">
        <v>0.46992787375511891</v>
      </c>
      <c r="G17" s="80">
        <v>4.7785179304692373E-2</v>
      </c>
      <c r="H17" s="79">
        <v>0.49351035453531106</v>
      </c>
    </row>
    <row r="18" spans="1:8">
      <c r="A18" s="77" t="s">
        <v>48</v>
      </c>
      <c r="B18" s="78">
        <v>448</v>
      </c>
      <c r="C18" s="79">
        <v>0.5711869920844328</v>
      </c>
      <c r="D18" s="80">
        <v>0.34983933933703365</v>
      </c>
      <c r="E18" s="80">
        <v>0.13165378387756227</v>
      </c>
      <c r="F18" s="79">
        <v>0.4381001871192951</v>
      </c>
      <c r="G18" s="80">
        <v>8.107671090038375E-2</v>
      </c>
      <c r="H18" s="79">
        <v>0.47675381864416178</v>
      </c>
    </row>
    <row r="19" spans="1:8">
      <c r="A19" s="77" t="s">
        <v>49</v>
      </c>
      <c r="B19" s="78">
        <v>37</v>
      </c>
      <c r="C19" s="79">
        <v>0.78095225806451607</v>
      </c>
      <c r="D19" s="80">
        <v>0.10699493320958665</v>
      </c>
      <c r="E19" s="80">
        <v>0.151140767664868</v>
      </c>
      <c r="F19" s="79">
        <v>0.71592898399852989</v>
      </c>
      <c r="G19" s="80">
        <v>4.2168982383900787E-2</v>
      </c>
      <c r="H19" s="79">
        <v>0.74744811019001245</v>
      </c>
    </row>
    <row r="20" spans="1:8">
      <c r="A20" s="77" t="s">
        <v>50</v>
      </c>
      <c r="B20" s="78">
        <v>318</v>
      </c>
      <c r="C20" s="79">
        <v>0.69320305660377346</v>
      </c>
      <c r="D20" s="80">
        <v>0.20182582800663806</v>
      </c>
      <c r="E20" s="80">
        <v>0.15043870294761594</v>
      </c>
      <c r="F20" s="79">
        <v>0.59174110721060735</v>
      </c>
      <c r="G20" s="80">
        <v>4.8639364041896928E-2</v>
      </c>
      <c r="H20" s="79">
        <v>0.62199452536174415</v>
      </c>
    </row>
    <row r="21" spans="1:8">
      <c r="A21" s="77" t="s">
        <v>103</v>
      </c>
      <c r="B21" s="78">
        <v>65</v>
      </c>
      <c r="C21" s="79">
        <v>1.0289106818181819</v>
      </c>
      <c r="D21" s="80">
        <v>0.10518502689058405</v>
      </c>
      <c r="E21" s="80">
        <v>0.16008974262179992</v>
      </c>
      <c r="F21" s="79">
        <v>0.94538933196082342</v>
      </c>
      <c r="G21" s="80">
        <v>8.7726237639926347E-2</v>
      </c>
      <c r="H21" s="79">
        <v>1.036300035106873</v>
      </c>
    </row>
    <row r="22" spans="1:8">
      <c r="A22" s="77" t="s">
        <v>104</v>
      </c>
      <c r="B22" s="78">
        <v>354</v>
      </c>
      <c r="C22" s="79">
        <v>0.68999786163522026</v>
      </c>
      <c r="D22" s="80">
        <v>6.4933985147744983E-2</v>
      </c>
      <c r="E22" s="80">
        <v>0.13901531071987672</v>
      </c>
      <c r="F22" s="79">
        <v>0.65346451201626454</v>
      </c>
      <c r="G22" s="80">
        <v>6.6403873470292807E-2</v>
      </c>
      <c r="H22" s="79">
        <v>0.6999434696085054</v>
      </c>
    </row>
    <row r="23" spans="1:8">
      <c r="A23" s="77" t="s">
        <v>105</v>
      </c>
      <c r="B23" s="78">
        <v>271</v>
      </c>
      <c r="C23" s="79">
        <v>0.775991875</v>
      </c>
      <c r="D23" s="80">
        <v>3.2015362154877283E-2</v>
      </c>
      <c r="E23" s="80">
        <v>0.10510185447562718</v>
      </c>
      <c r="F23" s="79">
        <v>0.754378560926241</v>
      </c>
      <c r="G23" s="80">
        <v>0.10216340771257262</v>
      </c>
      <c r="H23" s="79">
        <v>0.84021810584073331</v>
      </c>
    </row>
    <row r="24" spans="1:8">
      <c r="A24" s="77" t="s">
        <v>51</v>
      </c>
      <c r="B24" s="78">
        <v>226</v>
      </c>
      <c r="C24" s="79">
        <v>0.59325237209302351</v>
      </c>
      <c r="D24" s="80">
        <v>0.18206110666697284</v>
      </c>
      <c r="E24" s="80">
        <v>0.10749635493912896</v>
      </c>
      <c r="F24" s="79">
        <v>0.51032892270171604</v>
      </c>
      <c r="G24" s="80">
        <v>0.17802562731488111</v>
      </c>
      <c r="H24" s="79">
        <v>0.62085746181433854</v>
      </c>
    </row>
    <row r="25" spans="1:8">
      <c r="A25" s="77" t="s">
        <v>106</v>
      </c>
      <c r="B25" s="78">
        <v>320</v>
      </c>
      <c r="C25" s="79">
        <v>0.5846448571428573</v>
      </c>
      <c r="D25" s="80">
        <v>0.31647866231739846</v>
      </c>
      <c r="E25" s="80">
        <v>0.10927597319844524</v>
      </c>
      <c r="F25" s="79">
        <v>0.45607853171824819</v>
      </c>
      <c r="G25" s="80">
        <v>3.913286519973775E-2</v>
      </c>
      <c r="H25" s="79">
        <v>0.47465306617345626</v>
      </c>
    </row>
    <row r="26" spans="1:8">
      <c r="A26" s="77" t="s">
        <v>107</v>
      </c>
      <c r="B26" s="78">
        <v>269</v>
      </c>
      <c r="C26" s="79">
        <v>0.57738579908675824</v>
      </c>
      <c r="D26" s="80">
        <v>0.50473233431809539</v>
      </c>
      <c r="E26" s="80">
        <v>9.8945899564254688E-2</v>
      </c>
      <c r="F26" s="79">
        <v>0.3968856995521336</v>
      </c>
      <c r="G26" s="80">
        <v>0.11040159383543256</v>
      </c>
      <c r="H26" s="79">
        <v>0.44614029971487318</v>
      </c>
    </row>
    <row r="27" spans="1:8">
      <c r="A27" s="77" t="s">
        <v>52</v>
      </c>
      <c r="B27" s="78">
        <v>56</v>
      </c>
      <c r="C27" s="79">
        <v>0.60169369565217412</v>
      </c>
      <c r="D27" s="80">
        <v>3.5717494342088284E-2</v>
      </c>
      <c r="E27" s="80">
        <v>0.15526005215324554</v>
      </c>
      <c r="F27" s="79">
        <v>0.58407110557931252</v>
      </c>
      <c r="G27" s="80">
        <v>8.088338027796399E-2</v>
      </c>
      <c r="H27" s="79">
        <v>0.63547007316215254</v>
      </c>
    </row>
    <row r="28" spans="1:8">
      <c r="A28" s="77" t="s">
        <v>53</v>
      </c>
      <c r="B28" s="78">
        <v>433</v>
      </c>
      <c r="C28" s="79">
        <v>0.63876726256983252</v>
      </c>
      <c r="D28" s="80">
        <v>0.14103168896495422</v>
      </c>
      <c r="E28" s="80">
        <v>0.12113363679932096</v>
      </c>
      <c r="F28" s="79">
        <v>0.56832456507224527</v>
      </c>
      <c r="G28" s="80">
        <v>9.4253152912658622E-2</v>
      </c>
      <c r="H28" s="79">
        <v>0.62746513211703359</v>
      </c>
    </row>
    <row r="29" spans="1:8">
      <c r="A29" s="77" t="s">
        <v>54</v>
      </c>
      <c r="B29" s="78">
        <v>509</v>
      </c>
      <c r="C29" s="79">
        <v>0.62947486425339394</v>
      </c>
      <c r="D29" s="80">
        <v>0.20735312924052873</v>
      </c>
      <c r="E29" s="80">
        <v>0.10624715934988874</v>
      </c>
      <c r="F29" s="79">
        <v>0.53105791185235618</v>
      </c>
      <c r="G29" s="80">
        <v>9.5475213094685304E-2</v>
      </c>
      <c r="H29" s="79">
        <v>0.58711261376184609</v>
      </c>
    </row>
    <row r="30" spans="1:8">
      <c r="A30" s="77" t="s">
        <v>108</v>
      </c>
      <c r="B30" s="78">
        <v>130</v>
      </c>
      <c r="C30" s="79">
        <v>0.65281822033898307</v>
      </c>
      <c r="D30" s="80">
        <v>0.21371355028210628</v>
      </c>
      <c r="E30" s="80">
        <v>0.10070505075213573</v>
      </c>
      <c r="F30" s="79">
        <v>0.54757831387289579</v>
      </c>
      <c r="G30" s="80">
        <v>0.12470769759044308</v>
      </c>
      <c r="H30" s="79">
        <v>0.62559480114870147</v>
      </c>
    </row>
    <row r="31" spans="1:8">
      <c r="A31" s="77" t="s">
        <v>109</v>
      </c>
      <c r="B31" s="78">
        <v>538</v>
      </c>
      <c r="C31" s="79">
        <v>0.78632706443914069</v>
      </c>
      <c r="D31" s="80">
        <v>0.28913209172991094</v>
      </c>
      <c r="E31" s="80">
        <v>0.15806145622237253</v>
      </c>
      <c r="F31" s="79">
        <v>0.63238473098242454</v>
      </c>
      <c r="G31" s="80">
        <v>0.15913641602757847</v>
      </c>
      <c r="H31" s="79">
        <v>0.75206578455318784</v>
      </c>
    </row>
    <row r="32" spans="1:8">
      <c r="A32" s="77" t="s">
        <v>55</v>
      </c>
      <c r="B32" s="78">
        <v>111</v>
      </c>
      <c r="C32" s="79">
        <v>0.86287478260869543</v>
      </c>
      <c r="D32" s="80">
        <v>0.14507341740013538</v>
      </c>
      <c r="E32" s="80">
        <v>9.327542011677753E-2</v>
      </c>
      <c r="F32" s="79">
        <v>0.76256565123648523</v>
      </c>
      <c r="G32" s="80">
        <v>5.8558177778393679E-2</v>
      </c>
      <c r="H32" s="79">
        <v>0.80999763685555137</v>
      </c>
    </row>
    <row r="33" spans="1:8">
      <c r="A33" s="77" t="s">
        <v>110</v>
      </c>
      <c r="B33" s="78">
        <v>58</v>
      </c>
      <c r="C33" s="79">
        <v>2.5832048979591842</v>
      </c>
      <c r="D33" s="80">
        <v>0.25840264520816097</v>
      </c>
      <c r="E33" s="80">
        <v>0.12216059679733386</v>
      </c>
      <c r="F33" s="79">
        <v>2.1055828551896143</v>
      </c>
      <c r="G33" s="80">
        <v>7.837140128227528E-2</v>
      </c>
      <c r="H33" s="79">
        <v>2.2846327231155179</v>
      </c>
    </row>
    <row r="34" spans="1:8">
      <c r="A34" s="77" t="s">
        <v>111</v>
      </c>
      <c r="B34" s="78">
        <v>222</v>
      </c>
      <c r="C34" s="79">
        <v>0.56727449494949511</v>
      </c>
      <c r="D34" s="80">
        <v>0.2257227284693395</v>
      </c>
      <c r="E34" s="80">
        <v>0.13484941088447738</v>
      </c>
      <c r="F34" s="79">
        <v>0.4745938396588823</v>
      </c>
      <c r="G34" s="80">
        <v>8.1895230511290121E-2</v>
      </c>
      <c r="H34" s="79">
        <v>0.51692775751854803</v>
      </c>
    </row>
    <row r="35" spans="1:8">
      <c r="A35" s="77" t="s">
        <v>112</v>
      </c>
      <c r="B35" s="78">
        <v>199</v>
      </c>
      <c r="C35" s="79">
        <v>0.5577391194968554</v>
      </c>
      <c r="D35" s="80">
        <v>0.60002478300030493</v>
      </c>
      <c r="E35" s="80">
        <v>0.13387527193031268</v>
      </c>
      <c r="F35" s="79">
        <v>0.36700695971867964</v>
      </c>
      <c r="G35" s="80">
        <v>8.6715264413783674E-2</v>
      </c>
      <c r="H35" s="79">
        <v>0.40185381997335839</v>
      </c>
    </row>
    <row r="36" spans="1:8">
      <c r="A36" s="77" t="s">
        <v>113</v>
      </c>
      <c r="B36" s="78">
        <v>56</v>
      </c>
      <c r="C36" s="79">
        <v>0.7018509090909093</v>
      </c>
      <c r="D36" s="80">
        <v>0.39320200916603226</v>
      </c>
      <c r="E36" s="80">
        <v>0.10616330135402544</v>
      </c>
      <c r="F36" s="79">
        <v>0.51932853906484511</v>
      </c>
      <c r="G36" s="80">
        <v>0.21862097338510433</v>
      </c>
      <c r="H36" s="79">
        <v>0.66463076352930739</v>
      </c>
    </row>
    <row r="37" spans="1:8">
      <c r="A37" s="77" t="s">
        <v>56</v>
      </c>
      <c r="B37" s="78">
        <v>615</v>
      </c>
      <c r="C37" s="79">
        <v>0.53027917391304336</v>
      </c>
      <c r="D37" s="80">
        <v>0.22150530385460213</v>
      </c>
      <c r="E37" s="80">
        <v>0.12281722773972234</v>
      </c>
      <c r="F37" s="79">
        <v>0.44400811462733047</v>
      </c>
      <c r="G37" s="80">
        <v>6.0496620824958956E-2</v>
      </c>
      <c r="H37" s="79">
        <v>0.47259874149383585</v>
      </c>
    </row>
    <row r="38" spans="1:8">
      <c r="A38" s="77" t="s">
        <v>114</v>
      </c>
      <c r="B38" s="78">
        <v>27</v>
      </c>
      <c r="C38" s="79">
        <v>0.63669052631578937</v>
      </c>
      <c r="D38" s="80">
        <v>0.31823436494736018</v>
      </c>
      <c r="E38" s="80">
        <v>0.1465292213457354</v>
      </c>
      <c r="F38" s="79">
        <v>0.50069885033432082</v>
      </c>
      <c r="G38" s="80">
        <v>7.3997493857944852E-2</v>
      </c>
      <c r="H38" s="79">
        <v>0.54071003805416284</v>
      </c>
    </row>
    <row r="39" spans="1:8">
      <c r="A39" s="77" t="s">
        <v>57</v>
      </c>
      <c r="B39" s="78">
        <v>177</v>
      </c>
      <c r="C39" s="79">
        <v>0.492326845637584</v>
      </c>
      <c r="D39" s="80">
        <v>0.24101377686591971</v>
      </c>
      <c r="E39" s="80">
        <v>0.13081950790941033</v>
      </c>
      <c r="F39" s="79">
        <v>0.40705511856997861</v>
      </c>
      <c r="G39" s="80">
        <v>0.12640033265504705</v>
      </c>
      <c r="H39" s="79">
        <v>0.46595154941748307</v>
      </c>
    </row>
    <row r="40" spans="1:8">
      <c r="A40" s="77" t="s">
        <v>115</v>
      </c>
      <c r="B40" s="78">
        <v>64</v>
      </c>
      <c r="C40" s="79">
        <v>0.48091914893617033</v>
      </c>
      <c r="D40" s="80">
        <v>9.7396284021705082E-2</v>
      </c>
      <c r="E40" s="80">
        <v>0.14426711446748794</v>
      </c>
      <c r="F40" s="79">
        <v>0.44392050431450775</v>
      </c>
      <c r="G40" s="80">
        <v>5.2153783851356959E-2</v>
      </c>
      <c r="H40" s="79">
        <v>0.4683465489985047</v>
      </c>
    </row>
    <row r="41" spans="1:8">
      <c r="A41" s="77" t="s">
        <v>116</v>
      </c>
      <c r="B41" s="78">
        <v>17</v>
      </c>
      <c r="C41" s="79">
        <v>1.1013366666666669</v>
      </c>
      <c r="D41" s="80">
        <v>3.2866911198659601E-2</v>
      </c>
      <c r="E41" s="80">
        <v>0.10406519114403792</v>
      </c>
      <c r="F41" s="79">
        <v>1.0698336914024176</v>
      </c>
      <c r="G41" s="80">
        <v>2.7037371540808808E-2</v>
      </c>
      <c r="H41" s="79">
        <v>1.0995629843426091</v>
      </c>
    </row>
    <row r="42" spans="1:8">
      <c r="A42" s="77" t="s">
        <v>117</v>
      </c>
      <c r="B42" s="78">
        <v>102</v>
      </c>
      <c r="C42" s="79">
        <v>1.3738769736842109</v>
      </c>
      <c r="D42" s="80">
        <v>8.4442354239367107E-2</v>
      </c>
      <c r="E42" s="80">
        <v>0.12155774851921074</v>
      </c>
      <c r="F42" s="79">
        <v>1.2790034023603079</v>
      </c>
      <c r="G42" s="80">
        <v>4.9020572318075994E-2</v>
      </c>
      <c r="H42" s="79">
        <v>1.3449327768088151</v>
      </c>
    </row>
    <row r="43" spans="1:8">
      <c r="A43" s="77" t="s">
        <v>118</v>
      </c>
      <c r="B43" s="78">
        <v>50</v>
      </c>
      <c r="C43" s="79">
        <v>0.4108641025641025</v>
      </c>
      <c r="D43" s="80">
        <v>0.53336839815859816</v>
      </c>
      <c r="E43" s="80">
        <v>0.18383230895389699</v>
      </c>
      <c r="F43" s="79">
        <v>0.28625300254427954</v>
      </c>
      <c r="G43" s="80">
        <v>3.5350241717689183E-2</v>
      </c>
      <c r="H43" s="79">
        <v>0.29674293709873695</v>
      </c>
    </row>
    <row r="44" spans="1:8">
      <c r="A44" s="77" t="s">
        <v>58</v>
      </c>
      <c r="B44" s="78">
        <v>152</v>
      </c>
      <c r="C44" s="79">
        <v>0.75018328000000023</v>
      </c>
      <c r="D44" s="80">
        <v>0.19673752873073852</v>
      </c>
      <c r="E44" s="80">
        <v>0.13806440775023915</v>
      </c>
      <c r="F44" s="79">
        <v>0.64141524036404918</v>
      </c>
      <c r="G44" s="80">
        <v>0.10804782096476193</v>
      </c>
      <c r="H44" s="79">
        <v>0.71911393395307688</v>
      </c>
    </row>
    <row r="45" spans="1:8">
      <c r="A45" s="77" t="s">
        <v>59</v>
      </c>
      <c r="B45" s="78">
        <v>43</v>
      </c>
      <c r="C45" s="79">
        <v>1.097306363636364</v>
      </c>
      <c r="D45" s="80">
        <v>0.36325841432905942</v>
      </c>
      <c r="E45" s="80">
        <v>0.12215993192862595</v>
      </c>
      <c r="F45" s="79">
        <v>0.83199687719746718</v>
      </c>
      <c r="G45" s="80">
        <v>6.645781330109958E-2</v>
      </c>
      <c r="H45" s="79">
        <v>0.89122579466868257</v>
      </c>
    </row>
    <row r="46" spans="1:8">
      <c r="A46" s="77" t="s">
        <v>60</v>
      </c>
      <c r="B46" s="78">
        <v>317</v>
      </c>
      <c r="C46" s="79">
        <v>0.75574148305084865</v>
      </c>
      <c r="D46" s="80">
        <v>0.23993648743067095</v>
      </c>
      <c r="E46" s="80">
        <v>0.11952190876078919</v>
      </c>
      <c r="F46" s="79">
        <v>0.62393063338569055</v>
      </c>
      <c r="G46" s="80">
        <v>8.6522593657788596E-2</v>
      </c>
      <c r="H46" s="79">
        <v>0.68302798630133887</v>
      </c>
    </row>
    <row r="47" spans="1:8">
      <c r="A47" s="77" t="s">
        <v>61</v>
      </c>
      <c r="B47" s="78">
        <v>184</v>
      </c>
      <c r="C47" s="79">
        <v>0.45864979166666653</v>
      </c>
      <c r="D47" s="80">
        <v>6.5115432711507854E-2</v>
      </c>
      <c r="E47" s="80">
        <v>0.11329337283811096</v>
      </c>
      <c r="F47" s="79">
        <v>0.43361368105937698</v>
      </c>
      <c r="G47" s="80">
        <v>3.5232475167111768E-2</v>
      </c>
      <c r="H47" s="79">
        <v>0.44944887747386109</v>
      </c>
    </row>
    <row r="48" spans="1:8">
      <c r="A48" s="77" t="s">
        <v>62</v>
      </c>
      <c r="B48" s="78">
        <v>39</v>
      </c>
      <c r="C48" s="79">
        <v>0.78388875000000002</v>
      </c>
      <c r="D48" s="80">
        <v>3.2866726669459619E-2</v>
      </c>
      <c r="E48" s="80">
        <v>0.10777212312124283</v>
      </c>
      <c r="F48" s="79">
        <v>0.76155640559845572</v>
      </c>
      <c r="G48" s="80">
        <v>2.8393405041233763E-2</v>
      </c>
      <c r="H48" s="79">
        <v>0.78381148249696186</v>
      </c>
    </row>
    <row r="49" spans="1:8">
      <c r="A49" s="77" t="s">
        <v>119</v>
      </c>
      <c r="B49" s="78">
        <v>136</v>
      </c>
      <c r="C49" s="79">
        <v>0.62970369565217432</v>
      </c>
      <c r="D49" s="80">
        <v>8.9731080345797826E-2</v>
      </c>
      <c r="E49" s="80">
        <v>8.0727214988781507E-2</v>
      </c>
      <c r="F49" s="79">
        <v>0.58171922414875632</v>
      </c>
      <c r="G49" s="80">
        <v>8.1084836503780955E-2</v>
      </c>
      <c r="H49" s="79">
        <v>0.63304997812363328</v>
      </c>
    </row>
    <row r="50" spans="1:8">
      <c r="A50" s="77" t="s">
        <v>63</v>
      </c>
      <c r="B50" s="78">
        <v>50</v>
      </c>
      <c r="C50" s="79">
        <v>0.44873303030303036</v>
      </c>
      <c r="D50" s="80">
        <v>9.1692840030214759E-2</v>
      </c>
      <c r="E50" s="80">
        <v>0.14061909878603879</v>
      </c>
      <c r="F50" s="79">
        <v>0.41595607606081636</v>
      </c>
      <c r="G50" s="80">
        <v>0.21102781533788417</v>
      </c>
      <c r="H50" s="79">
        <v>0.52721259905880347</v>
      </c>
    </row>
    <row r="51" spans="1:8">
      <c r="A51" s="77" t="s">
        <v>64</v>
      </c>
      <c r="B51" s="78">
        <v>117</v>
      </c>
      <c r="C51" s="79">
        <v>0.57205259740259751</v>
      </c>
      <c r="D51" s="80">
        <v>0.13692010877490704</v>
      </c>
      <c r="E51" s="80">
        <v>8.6859701604054373E-2</v>
      </c>
      <c r="F51" s="79">
        <v>0.50847887262293423</v>
      </c>
      <c r="G51" s="80">
        <v>0.27965641182900058</v>
      </c>
      <c r="H51" s="79">
        <v>0.70588380457997291</v>
      </c>
    </row>
    <row r="52" spans="1:8">
      <c r="A52" s="77" t="s">
        <v>120</v>
      </c>
      <c r="B52" s="78">
        <v>128</v>
      </c>
      <c r="C52" s="79">
        <v>0.83256277777777754</v>
      </c>
      <c r="D52" s="80">
        <v>1.0712561988912577E-2</v>
      </c>
      <c r="E52" s="80">
        <v>0.1094475181445415</v>
      </c>
      <c r="F52" s="79">
        <v>0.82469510510549227</v>
      </c>
      <c r="G52" s="80">
        <v>3.849214641867555E-2</v>
      </c>
      <c r="H52" s="79">
        <v>0.85771021217741883</v>
      </c>
    </row>
    <row r="53" spans="1:8">
      <c r="A53" s="77" t="s">
        <v>65</v>
      </c>
      <c r="B53" s="78">
        <v>116</v>
      </c>
      <c r="C53" s="79">
        <v>0.60300666666666669</v>
      </c>
      <c r="D53" s="80">
        <v>0.41811107550572757</v>
      </c>
      <c r="E53" s="80">
        <v>3.938025275685407E-2</v>
      </c>
      <c r="F53" s="79">
        <v>0.43021331475984703</v>
      </c>
      <c r="G53" s="80">
        <v>6.9509286568709305E-2</v>
      </c>
      <c r="H53" s="79">
        <v>0.46235100313187039</v>
      </c>
    </row>
    <row r="54" spans="1:8">
      <c r="A54" s="77" t="s">
        <v>66</v>
      </c>
      <c r="B54" s="78">
        <v>485</v>
      </c>
      <c r="C54" s="79">
        <v>0.66219228155339804</v>
      </c>
      <c r="D54" s="80">
        <v>0.16176488654628299</v>
      </c>
      <c r="E54" s="80">
        <v>0.14573407102509955</v>
      </c>
      <c r="F54" s="79">
        <v>0.58179403009327402</v>
      </c>
      <c r="G54" s="80">
        <v>7.7714792841868108E-2</v>
      </c>
      <c r="H54" s="79">
        <v>0.63081791356707906</v>
      </c>
    </row>
    <row r="55" spans="1:8">
      <c r="A55" s="77" t="s">
        <v>121</v>
      </c>
      <c r="B55" s="78">
        <v>244</v>
      </c>
      <c r="C55" s="79">
        <v>0.80582746268656735</v>
      </c>
      <c r="D55" s="80">
        <v>0.15373405777640795</v>
      </c>
      <c r="E55" s="80">
        <v>0.10272149189503825</v>
      </c>
      <c r="F55" s="79">
        <v>0.7081444171280461</v>
      </c>
      <c r="G55" s="80">
        <v>5.479865582357777E-2</v>
      </c>
      <c r="H55" s="79">
        <v>0.74919954514566445</v>
      </c>
    </row>
    <row r="56" spans="1:8">
      <c r="A56" s="77" t="s">
        <v>122</v>
      </c>
      <c r="B56" s="78">
        <v>49</v>
      </c>
      <c r="C56" s="79">
        <v>0.46602809523809524</v>
      </c>
      <c r="D56" s="80">
        <v>0.13371107771253832</v>
      </c>
      <c r="E56" s="80">
        <v>0.10690006974121916</v>
      </c>
      <c r="F56" s="79">
        <v>0.41631308778441795</v>
      </c>
      <c r="G56" s="80">
        <v>7.889624226376335E-2</v>
      </c>
      <c r="H56" s="79">
        <v>0.451971978496294</v>
      </c>
    </row>
    <row r="57" spans="1:8">
      <c r="A57" s="77" t="s">
        <v>123</v>
      </c>
      <c r="B57" s="78">
        <v>26</v>
      </c>
      <c r="C57" s="79">
        <v>0.82435100000000006</v>
      </c>
      <c r="D57" s="80">
        <v>0.25899034050319852</v>
      </c>
      <c r="E57" s="80">
        <v>0.22049119173930681</v>
      </c>
      <c r="F57" s="79">
        <v>0.68588161710945073</v>
      </c>
      <c r="G57" s="80">
        <v>5.738064594499212E-2</v>
      </c>
      <c r="H57" s="79">
        <v>0.72763370936411431</v>
      </c>
    </row>
    <row r="58" spans="1:8">
      <c r="A58" s="77" t="s">
        <v>124</v>
      </c>
      <c r="B58" s="78">
        <v>74</v>
      </c>
      <c r="C58" s="79">
        <v>0.92203058823529405</v>
      </c>
      <c r="D58" s="80">
        <v>0.11331992759234449</v>
      </c>
      <c r="E58" s="80">
        <v>0.12093745768444</v>
      </c>
      <c r="F58" s="79">
        <v>0.83850287021243086</v>
      </c>
      <c r="G58" s="80">
        <v>6.0432195165219464E-2</v>
      </c>
      <c r="H58" s="79">
        <v>0.89243465548489975</v>
      </c>
    </row>
    <row r="59" spans="1:8">
      <c r="A59" s="77" t="s">
        <v>67</v>
      </c>
      <c r="B59" s="78">
        <v>55</v>
      </c>
      <c r="C59" s="79">
        <v>0.83754069767441852</v>
      </c>
      <c r="D59" s="80">
        <v>1.0388860764284809</v>
      </c>
      <c r="E59" s="80">
        <v>0.11090559797533954</v>
      </c>
      <c r="F59" s="79">
        <v>0.43538738855926101</v>
      </c>
      <c r="G59" s="80">
        <v>0.13430864085802927</v>
      </c>
      <c r="H59" s="79">
        <v>0.50293604523302027</v>
      </c>
    </row>
    <row r="60" spans="1:8">
      <c r="A60" s="77" t="s">
        <v>68</v>
      </c>
      <c r="B60" s="78">
        <v>191</v>
      </c>
      <c r="C60" s="79">
        <v>0.72608705882352942</v>
      </c>
      <c r="D60" s="80">
        <v>0.21710669361271384</v>
      </c>
      <c r="E60" s="80">
        <v>0.12027977901062674</v>
      </c>
      <c r="F60" s="79">
        <v>0.60964839281251482</v>
      </c>
      <c r="G60" s="80">
        <v>3.414360997238023E-2</v>
      </c>
      <c r="H60" s="79">
        <v>0.63119983375073097</v>
      </c>
    </row>
    <row r="61" spans="1:8">
      <c r="A61" s="77" t="s">
        <v>69</v>
      </c>
      <c r="B61" s="78">
        <v>187</v>
      </c>
      <c r="C61" s="79">
        <v>0.51289633093525189</v>
      </c>
      <c r="D61" s="80">
        <v>0.41665462032199113</v>
      </c>
      <c r="E61" s="80">
        <v>0.13806850132639265</v>
      </c>
      <c r="F61" s="79">
        <v>0.37737168872429305</v>
      </c>
      <c r="G61" s="80">
        <v>5.8574700599624413E-2</v>
      </c>
      <c r="H61" s="79">
        <v>0.40085144191966521</v>
      </c>
    </row>
    <row r="62" spans="1:8">
      <c r="A62" s="77" t="s">
        <v>70</v>
      </c>
      <c r="B62" s="78">
        <v>182</v>
      </c>
      <c r="C62" s="79">
        <v>0.59653651612903236</v>
      </c>
      <c r="D62" s="80">
        <v>0.55995905288639869</v>
      </c>
      <c r="E62" s="80">
        <v>9.1523692158109751E-2</v>
      </c>
      <c r="F62" s="79">
        <v>0.3953952057152289</v>
      </c>
      <c r="G62" s="80">
        <v>7.0263695469223106E-2</v>
      </c>
      <c r="H62" s="79">
        <v>0.42527671963372299</v>
      </c>
    </row>
    <row r="63" spans="1:8">
      <c r="A63" s="77" t="s">
        <v>125</v>
      </c>
      <c r="B63" s="78">
        <v>410</v>
      </c>
      <c r="C63" s="79">
        <v>0.55095104815864004</v>
      </c>
      <c r="D63" s="80">
        <v>8.286105745216725E-2</v>
      </c>
      <c r="E63" s="80">
        <v>0.14336351383954732</v>
      </c>
      <c r="F63" s="79">
        <v>0.51443548857450616</v>
      </c>
      <c r="G63" s="80">
        <v>4.2196364636940965E-2</v>
      </c>
      <c r="H63" s="79">
        <v>0.53709911883922579</v>
      </c>
    </row>
    <row r="64" spans="1:8">
      <c r="A64" s="77" t="s">
        <v>71</v>
      </c>
      <c r="B64" s="78">
        <v>322</v>
      </c>
      <c r="C64" s="79">
        <v>0.48700219607843148</v>
      </c>
      <c r="D64" s="80">
        <v>0.39202953113022382</v>
      </c>
      <c r="E64" s="80">
        <v>0.16075276456630241</v>
      </c>
      <c r="F64" s="79">
        <v>0.36643991086121919</v>
      </c>
      <c r="G64" s="80">
        <v>5.2180231414715957E-2</v>
      </c>
      <c r="H64" s="79">
        <v>0.3866134923606494</v>
      </c>
    </row>
    <row r="65" spans="1:8">
      <c r="A65" s="77" t="s">
        <v>72</v>
      </c>
      <c r="B65" s="78">
        <v>72</v>
      </c>
      <c r="C65" s="79">
        <v>0.85928644067796656</v>
      </c>
      <c r="D65" s="80">
        <v>6.1970849725228344E-2</v>
      </c>
      <c r="E65" s="80">
        <v>9.5379575106599529E-2</v>
      </c>
      <c r="F65" s="79">
        <v>0.81367191469453637</v>
      </c>
      <c r="G65" s="80">
        <v>3.83454040493547E-2</v>
      </c>
      <c r="H65" s="79">
        <v>0.84611659749848089</v>
      </c>
    </row>
    <row r="66" spans="1:8">
      <c r="A66" s="77" t="s">
        <v>126</v>
      </c>
      <c r="B66" s="78">
        <v>138</v>
      </c>
      <c r="C66" s="79">
        <v>0.5067651351351351</v>
      </c>
      <c r="D66" s="80">
        <v>0.15370001161830094</v>
      </c>
      <c r="E66" s="80">
        <v>0.15432269754342154</v>
      </c>
      <c r="F66" s="79">
        <v>0.44847241634631119</v>
      </c>
      <c r="G66" s="80">
        <v>7.7094535977378781E-2</v>
      </c>
      <c r="H66" s="79">
        <v>0.48593537889739785</v>
      </c>
    </row>
    <row r="67" spans="1:8">
      <c r="A67" s="77" t="s">
        <v>73</v>
      </c>
      <c r="B67" s="78">
        <v>29</v>
      </c>
      <c r="C67" s="79">
        <v>0.58690450000000016</v>
      </c>
      <c r="D67" s="80">
        <v>0.41186990689862535</v>
      </c>
      <c r="E67" s="80">
        <v>1.2375277840774612E-2</v>
      </c>
      <c r="F67" s="79">
        <v>0.41719917906628567</v>
      </c>
      <c r="G67" s="80">
        <v>3.512815711500545E-2</v>
      </c>
      <c r="H67" s="79">
        <v>0.43238817895115289</v>
      </c>
    </row>
    <row r="68" spans="1:8">
      <c r="A68" s="77" t="s">
        <v>74</v>
      </c>
      <c r="B68" s="78">
        <v>13</v>
      </c>
      <c r="C68" s="79">
        <v>0.56220636363636356</v>
      </c>
      <c r="D68" s="80">
        <v>0.13829860170224709</v>
      </c>
      <c r="E68" s="80">
        <v>0.10145003272579384</v>
      </c>
      <c r="F68" s="79">
        <v>0.50006427436023992</v>
      </c>
      <c r="G68" s="80">
        <v>3.577669777606967E-2</v>
      </c>
      <c r="H68" s="79">
        <v>0.51861874029269772</v>
      </c>
    </row>
    <row r="69" spans="1:8">
      <c r="A69" s="77" t="s">
        <v>127</v>
      </c>
      <c r="B69" s="78">
        <v>265</v>
      </c>
      <c r="C69" s="79">
        <v>0.66532205607476624</v>
      </c>
      <c r="D69" s="80">
        <v>0.36988152898346766</v>
      </c>
      <c r="E69" s="80">
        <v>0.10714667080157027</v>
      </c>
      <c r="F69" s="79">
        <v>0.50014815170122207</v>
      </c>
      <c r="G69" s="80">
        <v>8.2805622258008679E-2</v>
      </c>
      <c r="H69" s="79">
        <v>0.54530224327423293</v>
      </c>
    </row>
    <row r="70" spans="1:8">
      <c r="A70" s="77" t="s">
        <v>128</v>
      </c>
      <c r="B70" s="78">
        <v>371</v>
      </c>
      <c r="C70" s="79">
        <v>0.71613431818181816</v>
      </c>
      <c r="D70" s="80">
        <v>0.341163834822374</v>
      </c>
      <c r="E70" s="80">
        <v>0.16980886931141617</v>
      </c>
      <c r="F70" s="79">
        <v>0.55807115965120979</v>
      </c>
      <c r="G70" s="80">
        <v>0.116590372844811</v>
      </c>
      <c r="H70" s="79">
        <v>0.63172410906177856</v>
      </c>
    </row>
    <row r="71" spans="1:8">
      <c r="A71" s="77" t="s">
        <v>129</v>
      </c>
      <c r="B71" s="78">
        <v>159</v>
      </c>
      <c r="C71" s="79">
        <v>0.59953601626016262</v>
      </c>
      <c r="D71" s="80">
        <v>0.7136761403038332</v>
      </c>
      <c r="E71" s="80">
        <v>0.11082937676043723</v>
      </c>
      <c r="F71" s="79">
        <v>0.36678294618356178</v>
      </c>
      <c r="G71" s="80">
        <v>7.2685327316304796E-2</v>
      </c>
      <c r="H71" s="79">
        <v>0.39553234407698257</v>
      </c>
    </row>
    <row r="72" spans="1:8">
      <c r="A72" s="77" t="s">
        <v>75</v>
      </c>
      <c r="B72" s="78">
        <v>81</v>
      </c>
      <c r="C72" s="79">
        <v>0.56146942857142867</v>
      </c>
      <c r="D72" s="80">
        <v>0.14170179060856714</v>
      </c>
      <c r="E72" s="80">
        <v>0.11372617644209378</v>
      </c>
      <c r="F72" s="79">
        <v>0.49882384409445996</v>
      </c>
      <c r="G72" s="80">
        <v>8.9561035131495076E-2</v>
      </c>
      <c r="H72" s="79">
        <v>0.54789377799367944</v>
      </c>
    </row>
    <row r="73" spans="1:8">
      <c r="A73" s="77" t="s">
        <v>76</v>
      </c>
      <c r="B73" s="78">
        <v>27</v>
      </c>
      <c r="C73" s="79">
        <v>0.70481909090909078</v>
      </c>
      <c r="D73" s="80">
        <v>0.18954050480408047</v>
      </c>
      <c r="E73" s="80">
        <v>8.290596814922685E-2</v>
      </c>
      <c r="F73" s="79">
        <v>0.60044573152375946</v>
      </c>
      <c r="G73" s="80">
        <v>0.19506636047397358</v>
      </c>
      <c r="H73" s="79">
        <v>0.74595681188988849</v>
      </c>
    </row>
    <row r="74" spans="1:8">
      <c r="A74" s="77" t="s">
        <v>77</v>
      </c>
      <c r="B74" s="78">
        <v>48</v>
      </c>
      <c r="C74" s="79">
        <v>0.47058916666666673</v>
      </c>
      <c r="D74" s="80">
        <v>7.540766535404915E-2</v>
      </c>
      <c r="E74" s="80">
        <v>0.13632398891437811</v>
      </c>
      <c r="F74" s="79">
        <v>0.4418147478357442</v>
      </c>
      <c r="G74" s="80">
        <v>7.2459741143111225E-2</v>
      </c>
      <c r="H74" s="79">
        <v>0.47632945698792822</v>
      </c>
    </row>
    <row r="75" spans="1:8">
      <c r="A75" s="77" t="s">
        <v>130</v>
      </c>
      <c r="B75" s="78">
        <v>33</v>
      </c>
      <c r="C75" s="79">
        <v>0.38982320000000009</v>
      </c>
      <c r="D75" s="80">
        <v>0.38822071693448718</v>
      </c>
      <c r="E75" s="80">
        <v>0.1857435759225112</v>
      </c>
      <c r="F75" s="79">
        <v>0.29619320634249968</v>
      </c>
      <c r="G75" s="80">
        <v>7.7438411349684017E-2</v>
      </c>
      <c r="H75" s="79">
        <v>0.32105521190820741</v>
      </c>
    </row>
    <row r="76" spans="1:8">
      <c r="A76" s="77" t="s">
        <v>131</v>
      </c>
      <c r="B76" s="78">
        <v>9</v>
      </c>
      <c r="C76" s="79">
        <v>0.45378571428571429</v>
      </c>
      <c r="D76" s="80">
        <v>0.12102165113083518</v>
      </c>
      <c r="E76" s="80">
        <v>0.228279804551106</v>
      </c>
      <c r="F76" s="79">
        <v>0.41502455709024122</v>
      </c>
      <c r="G76" s="80">
        <v>8.3561614337891207E-2</v>
      </c>
      <c r="H76" s="79">
        <v>0.45286684144116696</v>
      </c>
    </row>
    <row r="77" spans="1:8">
      <c r="A77" s="77" t="s">
        <v>132</v>
      </c>
      <c r="B77" s="78">
        <v>335</v>
      </c>
      <c r="C77" s="79">
        <v>0.585723804347826</v>
      </c>
      <c r="D77" s="80">
        <v>0.22811277904547161</v>
      </c>
      <c r="E77" s="80">
        <v>0.14013205784663965</v>
      </c>
      <c r="F77" s="79">
        <v>0.48967549140274447</v>
      </c>
      <c r="G77" s="80">
        <v>6.9328260000782668E-2</v>
      </c>
      <c r="H77" s="79">
        <v>0.52615274576098792</v>
      </c>
    </row>
    <row r="78" spans="1:8">
      <c r="A78" s="77" t="s">
        <v>133</v>
      </c>
      <c r="B78" s="78">
        <v>143</v>
      </c>
      <c r="C78" s="79">
        <v>0.59627031249999973</v>
      </c>
      <c r="D78" s="80">
        <v>0.14542900764705929</v>
      </c>
      <c r="E78" s="80">
        <v>0.18927781952247616</v>
      </c>
      <c r="F78" s="79">
        <v>0.53338309974909759</v>
      </c>
      <c r="G78" s="80">
        <v>4.7314338313296775E-2</v>
      </c>
      <c r="H78" s="79">
        <v>0.55987312625736152</v>
      </c>
    </row>
    <row r="79" spans="1:8">
      <c r="A79" s="77" t="s">
        <v>134</v>
      </c>
      <c r="B79" s="78">
        <v>38</v>
      </c>
      <c r="C79" s="79">
        <v>0.44750000000000018</v>
      </c>
      <c r="D79" s="80">
        <v>8.5254336981471987E-2</v>
      </c>
      <c r="E79" s="80">
        <v>0.19027494850409421</v>
      </c>
      <c r="F79" s="79">
        <v>0.4186027737155632</v>
      </c>
      <c r="G79" s="80">
        <v>4.1728282570236919E-2</v>
      </c>
      <c r="H79" s="79">
        <v>0.43683098029682266</v>
      </c>
    </row>
    <row r="80" spans="1:8">
      <c r="A80" s="77" t="s">
        <v>135</v>
      </c>
      <c r="B80" s="78">
        <v>4</v>
      </c>
      <c r="C80" s="79">
        <v>1.1035166666666667</v>
      </c>
      <c r="D80" s="80">
        <v>0.19870993407592635</v>
      </c>
      <c r="E80" s="80">
        <v>0.2861977610347477</v>
      </c>
      <c r="F80" s="79">
        <v>0.96643755452104019</v>
      </c>
      <c r="G80" s="80">
        <v>6.1585871755363277E-3</v>
      </c>
      <c r="H80" s="79">
        <v>0.97242632682658825</v>
      </c>
    </row>
    <row r="81" spans="1:12">
      <c r="A81" s="77" t="s">
        <v>78</v>
      </c>
      <c r="B81" s="78">
        <v>124</v>
      </c>
      <c r="C81" s="79">
        <v>0.61313930693069318</v>
      </c>
      <c r="D81" s="80">
        <v>0.14234768824535318</v>
      </c>
      <c r="E81" s="80">
        <v>0.14961670431981577</v>
      </c>
      <c r="F81" s="79">
        <v>0.54693301305163255</v>
      </c>
      <c r="G81" s="80">
        <v>8.1272703530566939E-2</v>
      </c>
      <c r="H81" s="79">
        <v>0.59531594974203483</v>
      </c>
    </row>
    <row r="82" spans="1:12">
      <c r="A82" s="77" t="s">
        <v>136</v>
      </c>
      <c r="B82" s="78">
        <v>66</v>
      </c>
      <c r="C82" s="79">
        <v>0.59182232142857139</v>
      </c>
      <c r="D82" s="80">
        <v>0.25155817711314632</v>
      </c>
      <c r="E82" s="80">
        <v>0.15125848098217407</v>
      </c>
      <c r="F82" s="79">
        <v>0.48769549532345985</v>
      </c>
      <c r="G82" s="80">
        <v>5.1560814746325831E-2</v>
      </c>
      <c r="H82" s="79">
        <v>0.5142085047793743</v>
      </c>
    </row>
    <row r="83" spans="1:12">
      <c r="A83" s="77" t="s">
        <v>79</v>
      </c>
      <c r="B83" s="78">
        <v>308</v>
      </c>
      <c r="C83" s="79">
        <v>0.65854927272727271</v>
      </c>
      <c r="D83" s="80">
        <v>0.1168669776535068</v>
      </c>
      <c r="E83" s="80">
        <v>6.881918724802856E-2</v>
      </c>
      <c r="F83" s="79">
        <v>0.59391671007612812</v>
      </c>
      <c r="G83" s="80">
        <v>7.5950486318576066E-2</v>
      </c>
      <c r="H83" s="79">
        <v>0.64273256062865836</v>
      </c>
    </row>
    <row r="84" spans="1:12">
      <c r="A84" s="77" t="s">
        <v>80</v>
      </c>
      <c r="B84" s="78">
        <v>128</v>
      </c>
      <c r="C84" s="79">
        <v>0.77017106194690255</v>
      </c>
      <c r="D84" s="80">
        <v>0.16219984614809527</v>
      </c>
      <c r="E84" s="80">
        <v>6.483784697571042E-2</v>
      </c>
      <c r="F84" s="79">
        <v>0.668735195991771</v>
      </c>
      <c r="G84" s="80">
        <v>7.4194648003470087E-2</v>
      </c>
      <c r="H84" s="79">
        <v>0.72232807311992897</v>
      </c>
    </row>
    <row r="85" spans="1:12">
      <c r="A85" s="77" t="s">
        <v>137</v>
      </c>
      <c r="B85" s="78">
        <v>194</v>
      </c>
      <c r="C85" s="79">
        <v>0.70406751592356653</v>
      </c>
      <c r="D85" s="80">
        <v>0.4229035532484956</v>
      </c>
      <c r="E85" s="80">
        <v>8.9427196288630426E-2</v>
      </c>
      <c r="F85" s="79">
        <v>0.50832099344690873</v>
      </c>
      <c r="G85" s="80">
        <v>0.12310909774713676</v>
      </c>
      <c r="H85" s="79">
        <v>0.57968555967561808</v>
      </c>
    </row>
    <row r="86" spans="1:12">
      <c r="A86" s="77" t="s">
        <v>81</v>
      </c>
      <c r="B86" s="78">
        <v>50</v>
      </c>
      <c r="C86" s="79">
        <v>0.76094666666666677</v>
      </c>
      <c r="D86" s="80">
        <v>0.25558625783858929</v>
      </c>
      <c r="E86" s="80">
        <v>0.12736416451417437</v>
      </c>
      <c r="F86" s="79">
        <v>0.62217962552041528</v>
      </c>
      <c r="G86" s="80">
        <v>0.11669397942680011</v>
      </c>
      <c r="H86" s="79">
        <v>0.70437607242467004</v>
      </c>
    </row>
    <row r="87" spans="1:12">
      <c r="A87" s="77" t="s">
        <v>138</v>
      </c>
      <c r="B87" s="78">
        <v>400</v>
      </c>
      <c r="C87" s="79">
        <v>0.84879799410029588</v>
      </c>
      <c r="D87" s="80">
        <v>0.32950177691706156</v>
      </c>
      <c r="E87" s="80">
        <v>0.11073862520652926</v>
      </c>
      <c r="F87" s="79">
        <v>0.65644959544129444</v>
      </c>
      <c r="G87" s="80">
        <v>5.3413111315802508E-2</v>
      </c>
      <c r="H87" s="79">
        <v>0.69349111348224124</v>
      </c>
    </row>
    <row r="88" spans="1:12">
      <c r="A88" s="77" t="s">
        <v>139</v>
      </c>
      <c r="B88" s="78">
        <v>72</v>
      </c>
      <c r="C88" s="79">
        <v>0.65818568965517255</v>
      </c>
      <c r="D88" s="80">
        <v>0.19497197150967102</v>
      </c>
      <c r="E88" s="80">
        <v>0.13903749464067811</v>
      </c>
      <c r="F88" s="79">
        <v>0.56358098141946023</v>
      </c>
      <c r="G88" s="80">
        <v>5.8823090437875855E-2</v>
      </c>
      <c r="H88" s="79">
        <v>0.59880451346990893</v>
      </c>
    </row>
    <row r="89" spans="1:12">
      <c r="A89" s="77" t="s">
        <v>82</v>
      </c>
      <c r="B89" s="78">
        <v>283</v>
      </c>
      <c r="C89" s="79">
        <v>0.75035644531250034</v>
      </c>
      <c r="D89" s="80">
        <v>0.16267836698156879</v>
      </c>
      <c r="E89" s="80">
        <v>8.6432717676497434E-2</v>
      </c>
      <c r="F89" s="79">
        <v>0.65326913269663411</v>
      </c>
      <c r="G89" s="80">
        <v>0.11748249619788127</v>
      </c>
      <c r="H89" s="79">
        <v>0.74023362696170669</v>
      </c>
    </row>
    <row r="90" spans="1:12">
      <c r="A90" s="77" t="s">
        <v>83</v>
      </c>
      <c r="B90" s="78">
        <v>133</v>
      </c>
      <c r="C90" s="79">
        <v>0.60675718181818161</v>
      </c>
      <c r="D90" s="80">
        <v>0.36697734083226213</v>
      </c>
      <c r="E90" s="80">
        <v>0.14695466742601054</v>
      </c>
      <c r="F90" s="79">
        <v>0.46209814081744965</v>
      </c>
      <c r="G90" s="80">
        <v>6.4566924530434264E-2</v>
      </c>
      <c r="H90" s="79">
        <v>0.49399380130479892</v>
      </c>
    </row>
    <row r="91" spans="1:12">
      <c r="A91" s="77" t="s">
        <v>84</v>
      </c>
      <c r="B91" s="78">
        <v>25</v>
      </c>
      <c r="C91" s="79">
        <v>0.78396809523809519</v>
      </c>
      <c r="D91" s="80">
        <v>9.2710591019361216E-2</v>
      </c>
      <c r="E91" s="80">
        <v>0.1888004660983984</v>
      </c>
      <c r="F91" s="79">
        <v>0.72913238999729546</v>
      </c>
      <c r="G91" s="80">
        <v>1.6006539895462839E-2</v>
      </c>
      <c r="H91" s="79">
        <v>0.74099312603138046</v>
      </c>
    </row>
    <row r="92" spans="1:12">
      <c r="A92" s="81" t="s">
        <v>85</v>
      </c>
      <c r="B92" s="82">
        <v>33</v>
      </c>
      <c r="C92" s="83">
        <v>0.32854478260869568</v>
      </c>
      <c r="D92" s="84">
        <v>1.9861480178940495E-2</v>
      </c>
      <c r="E92" s="84">
        <v>0.18350487412102245</v>
      </c>
      <c r="F92" s="83">
        <v>0.32330186042983861</v>
      </c>
      <c r="G92" s="84">
        <v>2.0398427055279226E-2</v>
      </c>
      <c r="H92" s="83">
        <v>0.33003403563142569</v>
      </c>
    </row>
    <row r="93" spans="1:12">
      <c r="A93" s="85" t="s">
        <v>140</v>
      </c>
      <c r="B93" s="268">
        <v>213</v>
      </c>
      <c r="C93" s="269">
        <v>0.8637954365406445</v>
      </c>
      <c r="D93" s="86">
        <v>0.53533530447367594</v>
      </c>
      <c r="E93" s="87">
        <v>0.16575485739990053</v>
      </c>
      <c r="F93" s="88">
        <v>0.39596544215135643</v>
      </c>
      <c r="G93" s="87">
        <v>7.8021515364721086E-2</v>
      </c>
      <c r="H93" s="88">
        <v>0.42947362519852567</v>
      </c>
      <c r="I93" s="77">
        <f>+B93/($B$93+$B$94)</f>
        <v>0.64350453172205435</v>
      </c>
      <c r="J93" s="77">
        <f>+I93*F93</f>
        <v>0.2548055564297248</v>
      </c>
      <c r="K93" s="77">
        <f>+I93*D93</f>
        <v>0.34449069441961622</v>
      </c>
      <c r="L93" s="283">
        <f>+J95</f>
        <v>0.37938532465852387</v>
      </c>
    </row>
    <row r="94" spans="1:12">
      <c r="A94" s="85" t="s">
        <v>86</v>
      </c>
      <c r="B94" s="268">
        <v>118</v>
      </c>
      <c r="C94" s="269">
        <v>0.84843469012098138</v>
      </c>
      <c r="D94" s="86">
        <v>0.18543003169758251</v>
      </c>
      <c r="E94" s="87">
        <v>0.13495040746233955</v>
      </c>
      <c r="F94" s="88">
        <v>0.34945680748925839</v>
      </c>
      <c r="G94" s="87">
        <v>0.11290452153826569</v>
      </c>
      <c r="H94" s="88">
        <v>0.39393370383899723</v>
      </c>
      <c r="I94" s="77">
        <f>+B94/($B$93+$B$94)</f>
        <v>0.35649546827794559</v>
      </c>
      <c r="J94" s="77">
        <f>+I94*F94</f>
        <v>0.12457976822879906</v>
      </c>
      <c r="K94" s="77">
        <f>+I94*D94</f>
        <v>6.6104965982823977E-2</v>
      </c>
      <c r="L94" s="284"/>
    </row>
    <row r="95" spans="1:12">
      <c r="A95" s="89" t="s">
        <v>141</v>
      </c>
      <c r="B95" s="90">
        <v>14</v>
      </c>
      <c r="C95" s="91">
        <v>0.28174857142857146</v>
      </c>
      <c r="D95" s="92">
        <v>2.6046555409911059</v>
      </c>
      <c r="E95" s="92">
        <v>0.14256428431268878</v>
      </c>
      <c r="F95" s="91">
        <v>8.7138966427405498E-2</v>
      </c>
      <c r="G95" s="92">
        <v>5.0597713503624672E-2</v>
      </c>
      <c r="H95" s="91">
        <v>9.178297510634674E-2</v>
      </c>
      <c r="J95" s="76">
        <f>+J94+J93</f>
        <v>0.37938532465852387</v>
      </c>
      <c r="K95" s="76">
        <f>+K94+K93</f>
        <v>0.41059566040244022</v>
      </c>
    </row>
    <row r="96" spans="1:12">
      <c r="A96" s="77" t="s">
        <v>142</v>
      </c>
      <c r="B96" s="78">
        <v>48</v>
      </c>
      <c r="C96" s="79">
        <v>0.54611928571428592</v>
      </c>
      <c r="D96" s="80">
        <v>0.48707202878346367</v>
      </c>
      <c r="E96" s="80">
        <v>0.16819195978030121</v>
      </c>
      <c r="F96" s="79">
        <v>0.38865538818338002</v>
      </c>
      <c r="G96" s="80">
        <v>4.5692435875137501E-2</v>
      </c>
      <c r="H96" s="79">
        <v>0.40726428542960597</v>
      </c>
    </row>
    <row r="97" spans="1:8">
      <c r="A97" s="77" t="s">
        <v>87</v>
      </c>
      <c r="B97" s="78">
        <v>15522</v>
      </c>
      <c r="C97" s="79">
        <v>0.65621248332679505</v>
      </c>
      <c r="D97" s="80">
        <v>0.35299634445883726</v>
      </c>
      <c r="E97" s="80">
        <v>0.12725657084702599</v>
      </c>
      <c r="F97" s="79">
        <v>0.50166264385206527</v>
      </c>
      <c r="G97" s="80">
        <v>0.11158606280088887</v>
      </c>
      <c r="H97" s="79">
        <v>0.56467219034592064</v>
      </c>
    </row>
  </sheetData>
  <mergeCells count="1">
    <mergeCell ref="L93:L9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3"/>
  <sheetViews>
    <sheetView workbookViewId="0">
      <selection activeCell="F96" sqref="F96"/>
    </sheetView>
  </sheetViews>
  <sheetFormatPr baseColWidth="10" defaultColWidth="10.90625" defaultRowHeight="15.6"/>
  <cols>
    <col min="1" max="16384" width="10.90625" style="47"/>
  </cols>
  <sheetData>
    <row r="1" spans="1:10" s="46" customFormat="1" ht="18">
      <c r="A1" s="45" t="s">
        <v>143</v>
      </c>
      <c r="B1" s="45"/>
      <c r="C1" s="45"/>
      <c r="D1" s="45"/>
      <c r="E1" s="45"/>
      <c r="F1" s="45"/>
      <c r="G1" s="45"/>
    </row>
    <row r="2" spans="1:10">
      <c r="A2" s="47" t="s">
        <v>144</v>
      </c>
      <c r="C2" s="48" t="s">
        <v>145</v>
      </c>
      <c r="F2" s="47" t="s">
        <v>146</v>
      </c>
    </row>
    <row r="3" spans="1:10">
      <c r="A3" s="47" t="s">
        <v>147</v>
      </c>
      <c r="C3" s="48">
        <v>1979</v>
      </c>
      <c r="F3" s="47" t="s">
        <v>148</v>
      </c>
    </row>
    <row r="4" spans="1:10">
      <c r="E4" s="49"/>
    </row>
    <row r="5" spans="1:10">
      <c r="A5" s="47" t="s">
        <v>149</v>
      </c>
      <c r="E5" s="50">
        <f>VLOOKUP(C3-1,A12:G93,5)</f>
        <v>5081.7684777098611</v>
      </c>
    </row>
    <row r="6" spans="1:10">
      <c r="A6" s="47" t="s">
        <v>150</v>
      </c>
      <c r="E6" s="50">
        <f>VLOOKUP(C3-1,A12:G93,6)</f>
        <v>366.87018251706957</v>
      </c>
    </row>
    <row r="7" spans="1:10">
      <c r="A7" s="47" t="s">
        <v>151</v>
      </c>
      <c r="E7" s="50">
        <f>VLOOKUP(C3-1,A11:G93,7)</f>
        <v>458.90104096930958</v>
      </c>
    </row>
    <row r="8" spans="1:10" ht="16.2" thickBot="1">
      <c r="A8" s="47" t="s">
        <v>152</v>
      </c>
      <c r="E8" s="51">
        <f>IF(C2="ST",(E93/E5)^(1/(A93-C3+1))-(F93/E6)^(1/(A93-C3+1)),(E93/E5)^(1/(A93-C3+1))-(G93/E7)^(1/(A93-C3+1)))</f>
        <v>3.1056966145818432E-2</v>
      </c>
    </row>
    <row r="9" spans="1:10" ht="16.2" thickBot="1"/>
    <row r="10" spans="1:10" ht="16.2" thickBot="1">
      <c r="B10" s="52" t="s">
        <v>153</v>
      </c>
      <c r="C10" s="53"/>
      <c r="D10" s="54"/>
      <c r="E10" s="52" t="s">
        <v>154</v>
      </c>
      <c r="F10" s="53"/>
      <c r="G10" s="54"/>
    </row>
    <row r="11" spans="1:10">
      <c r="A11" s="55" t="s">
        <v>155</v>
      </c>
      <c r="B11" s="55" t="s">
        <v>156</v>
      </c>
      <c r="C11" s="55" t="s">
        <v>157</v>
      </c>
      <c r="D11" s="55" t="s">
        <v>158</v>
      </c>
      <c r="E11" s="56" t="s">
        <v>156</v>
      </c>
      <c r="F11" s="56" t="s">
        <v>157</v>
      </c>
      <c r="G11" s="56" t="s">
        <v>158</v>
      </c>
      <c r="H11" s="47" t="s">
        <v>159</v>
      </c>
      <c r="I11" s="47" t="s">
        <v>160</v>
      </c>
      <c r="J11" s="47" t="s">
        <v>161</v>
      </c>
    </row>
    <row r="12" spans="1:10">
      <c r="A12" s="57">
        <v>1928</v>
      </c>
      <c r="B12" s="58">
        <f>('[1]S&amp;P 500 &amp; Raw Data'!B4-'[1]S&amp;P 500 &amp; Raw Data'!B3+'[1]S&amp;P 500 &amp; Raw Data'!C4)/'[1]S&amp;P 500 &amp; Raw Data'!B3</f>
        <v>0.43811155152887893</v>
      </c>
      <c r="C12" s="58">
        <v>3.0800000000000001E-2</v>
      </c>
      <c r="D12" s="58">
        <f>'[1]S&amp;P 500 &amp; Raw Data'!F4</f>
        <v>8.354708589799302E-3</v>
      </c>
      <c r="E12" s="59">
        <f>100*(1+B12)</f>
        <v>143.81115515288789</v>
      </c>
      <c r="F12" s="59">
        <f>100*(1+C12)</f>
        <v>103.08</v>
      </c>
      <c r="G12" s="59">
        <f>100*(1+D12)</f>
        <v>100.83547085897993</v>
      </c>
      <c r="H12" s="60">
        <f>B12-C12</f>
        <v>0.40731155152887893</v>
      </c>
      <c r="I12" s="61">
        <f>B12-D12</f>
        <v>0.42975684293907962</v>
      </c>
    </row>
    <row r="13" spans="1:10">
      <c r="A13" s="57">
        <v>1929</v>
      </c>
      <c r="B13" s="58">
        <f>('[1]S&amp;P 500 &amp; Raw Data'!B5-'[1]S&amp;P 500 &amp; Raw Data'!B4+'[1]S&amp;P 500 &amp; Raw Data'!C5)/'[1]S&amp;P 500 &amp; Raw Data'!B4</f>
        <v>-8.2979466119096595E-2</v>
      </c>
      <c r="C13" s="58">
        <v>3.1600000000000003E-2</v>
      </c>
      <c r="D13" s="58">
        <f>'[1]S&amp;P 500 &amp; Raw Data'!F5</f>
        <v>4.2038041563204259E-2</v>
      </c>
      <c r="E13" s="59">
        <f t="shared" ref="E13:G28" si="0">E12*(1+B13)</f>
        <v>131.87778227633069</v>
      </c>
      <c r="F13" s="59">
        <f t="shared" si="0"/>
        <v>106.337328</v>
      </c>
      <c r="G13" s="59">
        <f t="shared" si="0"/>
        <v>105.074396573995</v>
      </c>
      <c r="H13" s="60">
        <f t="shared" ref="H13:H76" si="1">B13-C13</f>
        <v>-0.1145794661190966</v>
      </c>
      <c r="I13" s="61">
        <f t="shared" ref="I13:I76" si="2">B13-D13</f>
        <v>-0.12501750768230085</v>
      </c>
    </row>
    <row r="14" spans="1:10">
      <c r="A14" s="57">
        <v>1930</v>
      </c>
      <c r="B14" s="58">
        <f>('[1]S&amp;P 500 &amp; Raw Data'!B6-'[1]S&amp;P 500 &amp; Raw Data'!B5+'[1]S&amp;P 500 &amp; Raw Data'!C6)/'[1]S&amp;P 500 &amp; Raw Data'!B5</f>
        <v>-0.25123636363636365</v>
      </c>
      <c r="C14" s="58">
        <v>4.5499999999999999E-2</v>
      </c>
      <c r="D14" s="58">
        <f>'[1]S&amp;P 500 &amp; Raw Data'!F6</f>
        <v>4.5409314348970366E-2</v>
      </c>
      <c r="E14" s="59">
        <f t="shared" si="0"/>
        <v>98.745287812797272</v>
      </c>
      <c r="F14" s="59">
        <f t="shared" si="0"/>
        <v>111.17567642400002</v>
      </c>
      <c r="G14" s="59">
        <f t="shared" si="0"/>
        <v>109.84575287805193</v>
      </c>
      <c r="H14" s="60">
        <f t="shared" si="1"/>
        <v>-0.29673636363636363</v>
      </c>
      <c r="I14" s="61">
        <f t="shared" si="2"/>
        <v>-0.29664567798533403</v>
      </c>
    </row>
    <row r="15" spans="1:10">
      <c r="A15" s="57">
        <v>1931</v>
      </c>
      <c r="B15" s="58">
        <f>('[1]S&amp;P 500 &amp; Raw Data'!B7-'[1]S&amp;P 500 &amp; Raw Data'!B6+'[1]S&amp;P 500 &amp; Raw Data'!C7)/'[1]S&amp;P 500 &amp; Raw Data'!B6</f>
        <v>-0.43837548891786188</v>
      </c>
      <c r="C15" s="58">
        <v>2.3099999999999999E-2</v>
      </c>
      <c r="D15" s="58">
        <f>'[1]S&amp;P 500 &amp; Raw Data'!F7</f>
        <v>-2.5588559619422531E-2</v>
      </c>
      <c r="E15" s="59">
        <f t="shared" si="0"/>
        <v>55.457773989527276</v>
      </c>
      <c r="F15" s="59">
        <f t="shared" si="0"/>
        <v>113.74383454939441</v>
      </c>
      <c r="G15" s="59">
        <f t="shared" si="0"/>
        <v>107.03495828159154</v>
      </c>
      <c r="H15" s="60">
        <f t="shared" si="1"/>
        <v>-0.46147548891786189</v>
      </c>
      <c r="I15" s="61">
        <f t="shared" si="2"/>
        <v>-0.41278692929843935</v>
      </c>
    </row>
    <row r="16" spans="1:10">
      <c r="A16" s="57">
        <v>1932</v>
      </c>
      <c r="B16" s="58">
        <f>('[1]S&amp;P 500 &amp; Raw Data'!B8-'[1]S&amp;P 500 &amp; Raw Data'!B7+'[1]S&amp;P 500 &amp; Raw Data'!C8)/'[1]S&amp;P 500 &amp; Raw Data'!B7</f>
        <v>-8.642364532019696E-2</v>
      </c>
      <c r="C16" s="58">
        <v>1.0699999999999999E-2</v>
      </c>
      <c r="D16" s="58">
        <f>'[1]S&amp;P 500 &amp; Raw Data'!F8</f>
        <v>8.7903069904773257E-2</v>
      </c>
      <c r="E16" s="59">
        <f t="shared" si="0"/>
        <v>50.664911000008722</v>
      </c>
      <c r="F16" s="59">
        <f t="shared" si="0"/>
        <v>114.96089357907292</v>
      </c>
      <c r="G16" s="59">
        <f t="shared" si="0"/>
        <v>116.44365970167279</v>
      </c>
      <c r="H16" s="60">
        <f t="shared" si="1"/>
        <v>-9.7123645320196961E-2</v>
      </c>
      <c r="I16" s="61">
        <f t="shared" si="2"/>
        <v>-0.17432671522497023</v>
      </c>
    </row>
    <row r="17" spans="1:9">
      <c r="A17" s="57">
        <v>1933</v>
      </c>
      <c r="B17" s="58">
        <f>('[1]S&amp;P 500 &amp; Raw Data'!B9-'[1]S&amp;P 500 &amp; Raw Data'!B8+'[1]S&amp;P 500 &amp; Raw Data'!C9)/'[1]S&amp;P 500 &amp; Raw Data'!B8</f>
        <v>0.49982225433526023</v>
      </c>
      <c r="C17" s="58">
        <v>9.5999999999999992E-3</v>
      </c>
      <c r="D17" s="58">
        <f>'[1]S&amp;P 500 &amp; Raw Data'!F9</f>
        <v>1.8552720891857361E-2</v>
      </c>
      <c r="E17" s="59">
        <f t="shared" si="0"/>
        <v>75.988361031728402</v>
      </c>
      <c r="F17" s="59">
        <f t="shared" si="0"/>
        <v>116.06451815743202</v>
      </c>
      <c r="G17" s="59">
        <f t="shared" si="0"/>
        <v>118.60400641974435</v>
      </c>
      <c r="H17" s="60">
        <f t="shared" si="1"/>
        <v>0.49022225433526023</v>
      </c>
      <c r="I17" s="61">
        <f t="shared" si="2"/>
        <v>0.48126953344340284</v>
      </c>
    </row>
    <row r="18" spans="1:9">
      <c r="A18" s="57">
        <v>1934</v>
      </c>
      <c r="B18" s="58">
        <f>('[1]S&amp;P 500 &amp; Raw Data'!B10-'[1]S&amp;P 500 &amp; Raw Data'!B9+'[1]S&amp;P 500 &amp; Raw Data'!C10)/'[1]S&amp;P 500 &amp; Raw Data'!B9</f>
        <v>-1.1885656970912803E-2</v>
      </c>
      <c r="C18" s="58">
        <f>'[1]T. Bill rates'!G13</f>
        <v>3.225E-3</v>
      </c>
      <c r="D18" s="58">
        <f>'[1]S&amp;P 500 &amp; Raw Data'!F10</f>
        <v>7.9634426179656104E-2</v>
      </c>
      <c r="E18" s="59">
        <f t="shared" si="0"/>
        <v>75.085189438723404</v>
      </c>
      <c r="F18" s="59">
        <f t="shared" si="0"/>
        <v>116.43882622848975</v>
      </c>
      <c r="G18" s="59">
        <f t="shared" si="0"/>
        <v>128.04896841358894</v>
      </c>
      <c r="H18" s="60">
        <f t="shared" si="1"/>
        <v>-1.5110656970912803E-2</v>
      </c>
      <c r="I18" s="61">
        <f t="shared" si="2"/>
        <v>-9.1520083150568907E-2</v>
      </c>
    </row>
    <row r="19" spans="1:9">
      <c r="A19" s="57">
        <v>1935</v>
      </c>
      <c r="B19" s="58">
        <f>('[1]S&amp;P 500 &amp; Raw Data'!B11-'[1]S&amp;P 500 &amp; Raw Data'!B10+'[1]S&amp;P 500 &amp; Raw Data'!C11)/'[1]S&amp;P 500 &amp; Raw Data'!B10</f>
        <v>0.46740421052631581</v>
      </c>
      <c r="C19" s="58">
        <f>'[1]T. Bill rates'!G14</f>
        <v>1.7499999999999998E-3</v>
      </c>
      <c r="D19" s="58">
        <f>'[1]S&amp;P 500 &amp; Raw Data'!F11</f>
        <v>4.4720477296566127E-2</v>
      </c>
      <c r="E19" s="59">
        <f t="shared" si="0"/>
        <v>110.18032313054879</v>
      </c>
      <c r="F19" s="59">
        <f t="shared" si="0"/>
        <v>116.64259417438959</v>
      </c>
      <c r="G19" s="59">
        <f t="shared" si="0"/>
        <v>133.77537939837757</v>
      </c>
      <c r="H19" s="60">
        <f t="shared" si="1"/>
        <v>0.46565421052631584</v>
      </c>
      <c r="I19" s="61">
        <f t="shared" si="2"/>
        <v>0.42268373322974967</v>
      </c>
    </row>
    <row r="20" spans="1:9">
      <c r="A20" s="57">
        <v>1936</v>
      </c>
      <c r="B20" s="58">
        <f>('[1]S&amp;P 500 &amp; Raw Data'!B12-'[1]S&amp;P 500 &amp; Raw Data'!B11+'[1]S&amp;P 500 &amp; Raw Data'!C12)/'[1]S&amp;P 500 &amp; Raw Data'!B11</f>
        <v>0.31943410275502609</v>
      </c>
      <c r="C20" s="58">
        <f>'[1]T. Bill rates'!G15</f>
        <v>1.7000000000000001E-3</v>
      </c>
      <c r="D20" s="58">
        <f>'[1]S&amp;P 500 &amp; Raw Data'!F12</f>
        <v>5.0178754045450601E-2</v>
      </c>
      <c r="E20" s="59">
        <f t="shared" si="0"/>
        <v>145.37567579101449</v>
      </c>
      <c r="F20" s="59">
        <f t="shared" si="0"/>
        <v>116.84088658448606</v>
      </c>
      <c r="G20" s="59">
        <f t="shared" si="0"/>
        <v>140.4880612585456</v>
      </c>
      <c r="H20" s="60">
        <f t="shared" si="1"/>
        <v>0.31773410275502612</v>
      </c>
      <c r="I20" s="61">
        <f t="shared" si="2"/>
        <v>0.26925534870957551</v>
      </c>
    </row>
    <row r="21" spans="1:9">
      <c r="A21" s="57">
        <v>1937</v>
      </c>
      <c r="B21" s="58">
        <f>('[1]S&amp;P 500 &amp; Raw Data'!B13-'[1]S&amp;P 500 &amp; Raw Data'!B12+'[1]S&amp;P 500 &amp; Raw Data'!C13)/'[1]S&amp;P 500 &amp; Raw Data'!B12</f>
        <v>-0.35336728754365537</v>
      </c>
      <c r="C21" s="58">
        <f>'[1]T. Bill rates'!G16</f>
        <v>3.0250000000000003E-3</v>
      </c>
      <c r="D21" s="58">
        <f>'[1]S&amp;P 500 &amp; Raw Data'!F13</f>
        <v>1.379146059646038E-2</v>
      </c>
      <c r="E21" s="59">
        <f t="shared" si="0"/>
        <v>94.004667561917856</v>
      </c>
      <c r="F21" s="59">
        <f t="shared" si="0"/>
        <v>117.19433026640414</v>
      </c>
      <c r="G21" s="59">
        <f t="shared" si="0"/>
        <v>142.42559681966594</v>
      </c>
      <c r="H21" s="60">
        <f t="shared" si="1"/>
        <v>-0.35639228754365537</v>
      </c>
      <c r="I21" s="61">
        <f t="shared" si="2"/>
        <v>-0.36715874814011573</v>
      </c>
    </row>
    <row r="22" spans="1:9">
      <c r="A22" s="57">
        <v>1938</v>
      </c>
      <c r="B22" s="58">
        <f>('[1]S&amp;P 500 &amp; Raw Data'!B14-'[1]S&amp;P 500 &amp; Raw Data'!B13+'[1]S&amp;P 500 &amp; Raw Data'!C14)/'[1]S&amp;P 500 &amp; Raw Data'!B13</f>
        <v>0.29282654028436017</v>
      </c>
      <c r="C22" s="58">
        <f>'[1]T. Bill rates'!G17</f>
        <v>7.7499999999999997E-4</v>
      </c>
      <c r="D22" s="58">
        <f>'[1]S&amp;P 500 &amp; Raw Data'!F14</f>
        <v>4.2132485322046068E-2</v>
      </c>
      <c r="E22" s="59">
        <f t="shared" si="0"/>
        <v>121.53172913465568</v>
      </c>
      <c r="F22" s="59">
        <f t="shared" si="0"/>
        <v>117.28515587236059</v>
      </c>
      <c r="G22" s="59">
        <f t="shared" si="0"/>
        <v>148.42634118715418</v>
      </c>
      <c r="H22" s="60">
        <f t="shared" si="1"/>
        <v>0.29205154028436014</v>
      </c>
      <c r="I22" s="61">
        <f t="shared" si="2"/>
        <v>0.25069405496231412</v>
      </c>
    </row>
    <row r="23" spans="1:9">
      <c r="A23" s="57">
        <v>1939</v>
      </c>
      <c r="B23" s="58">
        <f>('[1]S&amp;P 500 &amp; Raw Data'!B15-'[1]S&amp;P 500 &amp; Raw Data'!B14+'[1]S&amp;P 500 &amp; Raw Data'!C15)/'[1]S&amp;P 500 &amp; Raw Data'!B14</f>
        <v>-1.0975646879756443E-2</v>
      </c>
      <c r="C23" s="58">
        <f>'[1]T. Bill rates'!G18</f>
        <v>3.7500000000000006E-4</v>
      </c>
      <c r="D23" s="58">
        <f>'[1]S&amp;P 500 &amp; Raw Data'!F15</f>
        <v>4.4122613942060671E-2</v>
      </c>
      <c r="E23" s="59">
        <f t="shared" si="0"/>
        <v>120.19783979098749</v>
      </c>
      <c r="F23" s="59">
        <f t="shared" si="0"/>
        <v>117.32913780581272</v>
      </c>
      <c r="G23" s="59">
        <f t="shared" si="0"/>
        <v>154.97529933818757</v>
      </c>
      <c r="H23" s="60">
        <f t="shared" si="1"/>
        <v>-1.1350646879756444E-2</v>
      </c>
      <c r="I23" s="61">
        <f t="shared" si="2"/>
        <v>-5.509826082181711E-2</v>
      </c>
    </row>
    <row r="24" spans="1:9">
      <c r="A24" s="57">
        <v>1940</v>
      </c>
      <c r="B24" s="58">
        <f>('[1]S&amp;P 500 &amp; Raw Data'!B16-'[1]S&amp;P 500 &amp; Raw Data'!B15+'[1]S&amp;P 500 &amp; Raw Data'!C16)/'[1]S&amp;P 500 &amp; Raw Data'!B15</f>
        <v>-0.10672873194221515</v>
      </c>
      <c r="C24" s="58">
        <f>'[1]T. Bill rates'!G19</f>
        <v>2.5000000000000001E-4</v>
      </c>
      <c r="D24" s="58">
        <f>'[1]S&amp;P 500 &amp; Raw Data'!F16</f>
        <v>5.4024815962845509E-2</v>
      </c>
      <c r="E24" s="59">
        <f t="shared" si="0"/>
        <v>107.36927676790187</v>
      </c>
      <c r="F24" s="59">
        <f t="shared" si="0"/>
        <v>117.35847009026418</v>
      </c>
      <c r="G24" s="59">
        <f t="shared" si="0"/>
        <v>163.34781136372007</v>
      </c>
      <c r="H24" s="60">
        <f t="shared" si="1"/>
        <v>-0.10697873194221515</v>
      </c>
      <c r="I24" s="61">
        <f t="shared" si="2"/>
        <v>-0.16075354790506066</v>
      </c>
    </row>
    <row r="25" spans="1:9">
      <c r="A25" s="57">
        <v>1941</v>
      </c>
      <c r="B25" s="58">
        <f>('[1]S&amp;P 500 &amp; Raw Data'!B17-'[1]S&amp;P 500 &amp; Raw Data'!B16+'[1]S&amp;P 500 &amp; Raw Data'!C17)/'[1]S&amp;P 500 &amp; Raw Data'!B16</f>
        <v>-0.12771455576559551</v>
      </c>
      <c r="C25" s="58">
        <f>'[1]T. Bill rates'!G20</f>
        <v>8.2499999999999989E-4</v>
      </c>
      <c r="D25" s="58">
        <f>'[1]S&amp;P 500 &amp; Raw Data'!F17</f>
        <v>-2.0221975848580105E-2</v>
      </c>
      <c r="E25" s="59">
        <f t="shared" si="0"/>
        <v>93.656657282615996</v>
      </c>
      <c r="F25" s="59">
        <f t="shared" si="0"/>
        <v>117.45529082808865</v>
      </c>
      <c r="G25" s="59">
        <f t="shared" si="0"/>
        <v>160.0445958674045</v>
      </c>
      <c r="H25" s="60">
        <f t="shared" si="1"/>
        <v>-0.1285395557655955</v>
      </c>
      <c r="I25" s="61">
        <f t="shared" si="2"/>
        <v>-0.10749257991701541</v>
      </c>
    </row>
    <row r="26" spans="1:9">
      <c r="A26" s="57">
        <v>1942</v>
      </c>
      <c r="B26" s="58">
        <f>('[1]S&amp;P 500 &amp; Raw Data'!B18-'[1]S&amp;P 500 &amp; Raw Data'!B17+'[1]S&amp;P 500 &amp; Raw Data'!C18)/'[1]S&amp;P 500 &amp; Raw Data'!B17</f>
        <v>0.19173762945914843</v>
      </c>
      <c r="C26" s="58">
        <f>'[1]T. Bill rates'!G21</f>
        <v>3.3750000000000004E-3</v>
      </c>
      <c r="D26" s="58">
        <f>'[1]S&amp;P 500 &amp; Raw Data'!F18</f>
        <v>2.2948682374484164E-2</v>
      </c>
      <c r="E26" s="59">
        <f t="shared" si="0"/>
        <v>111.61416273305268</v>
      </c>
      <c r="F26" s="59">
        <f t="shared" si="0"/>
        <v>117.85170243463344</v>
      </c>
      <c r="G26" s="59">
        <f t="shared" si="0"/>
        <v>163.71740846371824</v>
      </c>
      <c r="H26" s="60">
        <f t="shared" si="1"/>
        <v>0.18836262945914845</v>
      </c>
      <c r="I26" s="61">
        <f t="shared" si="2"/>
        <v>0.16878894708466427</v>
      </c>
    </row>
    <row r="27" spans="1:9">
      <c r="A27" s="57">
        <v>1943</v>
      </c>
      <c r="B27" s="58">
        <f>('[1]S&amp;P 500 &amp; Raw Data'!B19-'[1]S&amp;P 500 &amp; Raw Data'!B18+'[1]S&amp;P 500 &amp; Raw Data'!C19)/'[1]S&amp;P 500 &amp; Raw Data'!B18</f>
        <v>0.25061310133060394</v>
      </c>
      <c r="C27" s="58">
        <f>'[1]T. Bill rates'!G22</f>
        <v>3.8E-3</v>
      </c>
      <c r="D27" s="58">
        <f>'[1]S&amp;P 500 &amp; Raw Data'!F19</f>
        <v>2.4899999999999999E-2</v>
      </c>
      <c r="E27" s="59">
        <f t="shared" si="0"/>
        <v>139.58613420800171</v>
      </c>
      <c r="F27" s="59">
        <f t="shared" si="0"/>
        <v>118.29953890388505</v>
      </c>
      <c r="G27" s="59">
        <f t="shared" si="0"/>
        <v>167.79397193446482</v>
      </c>
      <c r="H27" s="60">
        <f t="shared" si="1"/>
        <v>0.24681310133060394</v>
      </c>
      <c r="I27" s="61">
        <f t="shared" si="2"/>
        <v>0.22571310133060393</v>
      </c>
    </row>
    <row r="28" spans="1:9">
      <c r="A28" s="57">
        <v>1944</v>
      </c>
      <c r="B28" s="58">
        <f>('[1]S&amp;P 500 &amp; Raw Data'!B20-'[1]S&amp;P 500 &amp; Raw Data'!B19+'[1]S&amp;P 500 &amp; Raw Data'!C20)/'[1]S&amp;P 500 &amp; Raw Data'!B19</f>
        <v>0.19030676949443009</v>
      </c>
      <c r="C28" s="58">
        <f>'[1]T. Bill rates'!G23</f>
        <v>3.8E-3</v>
      </c>
      <c r="D28" s="58">
        <f>'[1]S&amp;P 500 &amp; Raw Data'!F20</f>
        <v>2.5776111579070303E-2</v>
      </c>
      <c r="E28" s="59">
        <f t="shared" si="0"/>
        <v>166.15032047534245</v>
      </c>
      <c r="F28" s="59">
        <f t="shared" si="0"/>
        <v>118.74907715171982</v>
      </c>
      <c r="G28" s="59">
        <f t="shared" si="0"/>
        <v>172.11904807734297</v>
      </c>
      <c r="H28" s="60">
        <f t="shared" si="1"/>
        <v>0.1865067694944301</v>
      </c>
      <c r="I28" s="61">
        <f t="shared" si="2"/>
        <v>0.16453065791535978</v>
      </c>
    </row>
    <row r="29" spans="1:9">
      <c r="A29" s="57">
        <v>1945</v>
      </c>
      <c r="B29" s="58">
        <f>('[1]S&amp;P 500 &amp; Raw Data'!B21-'[1]S&amp;P 500 &amp; Raw Data'!B20+'[1]S&amp;P 500 &amp; Raw Data'!C21)/'[1]S&amp;P 500 &amp; Raw Data'!B20</f>
        <v>0.35821084337349401</v>
      </c>
      <c r="C29" s="58">
        <f>'[1]T. Bill rates'!G24</f>
        <v>3.8E-3</v>
      </c>
      <c r="D29" s="58">
        <f>'[1]S&amp;P 500 &amp; Raw Data'!F21</f>
        <v>3.8044173419237229E-2</v>
      </c>
      <c r="E29" s="59">
        <f t="shared" ref="E29:G44" si="3">E28*(1+B29)</f>
        <v>225.66716689959119</v>
      </c>
      <c r="F29" s="59">
        <f t="shared" si="3"/>
        <v>119.20032364489636</v>
      </c>
      <c r="G29" s="59">
        <f t="shared" si="3"/>
        <v>178.66717499115143</v>
      </c>
      <c r="H29" s="60">
        <f t="shared" si="1"/>
        <v>0.35441084337349399</v>
      </c>
      <c r="I29" s="61">
        <f t="shared" si="2"/>
        <v>0.3201666699542568</v>
      </c>
    </row>
    <row r="30" spans="1:9">
      <c r="A30" s="57">
        <v>1946</v>
      </c>
      <c r="B30" s="58">
        <f>('[1]S&amp;P 500 &amp; Raw Data'!B22-'[1]S&amp;P 500 &amp; Raw Data'!B21+'[1]S&amp;P 500 &amp; Raw Data'!C22)/'[1]S&amp;P 500 &amp; Raw Data'!B21</f>
        <v>-8.4291474654377807E-2</v>
      </c>
      <c r="C30" s="58">
        <f>'[1]T. Bill rates'!G25</f>
        <v>3.8E-3</v>
      </c>
      <c r="D30" s="58">
        <f>'[1]S&amp;P 500 &amp; Raw Data'!F22</f>
        <v>3.1283745375695685E-2</v>
      </c>
      <c r="E30" s="59">
        <f t="shared" si="3"/>
        <v>206.64534862054904</v>
      </c>
      <c r="F30" s="59">
        <f t="shared" si="3"/>
        <v>119.65328487474697</v>
      </c>
      <c r="G30" s="59">
        <f t="shared" si="3"/>
        <v>184.25655340056949</v>
      </c>
      <c r="H30" s="60">
        <f t="shared" si="1"/>
        <v>-8.8091474654377805E-2</v>
      </c>
      <c r="I30" s="61">
        <f t="shared" si="2"/>
        <v>-0.11557522003007349</v>
      </c>
    </row>
    <row r="31" spans="1:9">
      <c r="A31" s="57">
        <v>1947</v>
      </c>
      <c r="B31" s="58">
        <f>('[1]S&amp;P 500 &amp; Raw Data'!B23-'[1]S&amp;P 500 &amp; Raw Data'!B22+'[1]S&amp;P 500 &amp; Raw Data'!C23)/'[1]S&amp;P 500 &amp; Raw Data'!B22</f>
        <v>5.1999999999999998E-2</v>
      </c>
      <c r="C31" s="58">
        <f>'[1]T. Bill rates'!G26</f>
        <v>5.6750000000000004E-3</v>
      </c>
      <c r="D31" s="58">
        <f>'[1]S&amp;P 500 &amp; Raw Data'!F23</f>
        <v>9.1969680628322358E-3</v>
      </c>
      <c r="E31" s="59">
        <f t="shared" si="3"/>
        <v>217.3909067488176</v>
      </c>
      <c r="F31" s="59">
        <f t="shared" si="3"/>
        <v>120.33231726641117</v>
      </c>
      <c r="G31" s="59">
        <f t="shared" si="3"/>
        <v>185.95115503756207</v>
      </c>
      <c r="H31" s="60">
        <f t="shared" si="1"/>
        <v>4.6324999999999998E-2</v>
      </c>
      <c r="I31" s="61">
        <f t="shared" si="2"/>
        <v>4.2803031937167765E-2</v>
      </c>
    </row>
    <row r="32" spans="1:9">
      <c r="A32" s="57">
        <v>1948</v>
      </c>
      <c r="B32" s="58">
        <f>('[1]S&amp;P 500 &amp; Raw Data'!B24-'[1]S&amp;P 500 &amp; Raw Data'!B23+'[1]S&amp;P 500 &amp; Raw Data'!C24)/'[1]S&amp;P 500 &amp; Raw Data'!B23</f>
        <v>5.7045751633986834E-2</v>
      </c>
      <c r="C32" s="58">
        <f>'[1]T. Bill rates'!G27</f>
        <v>1.0225E-2</v>
      </c>
      <c r="D32" s="58">
        <f>'[1]S&amp;P 500 &amp; Raw Data'!F24</f>
        <v>1.9510369413175046E-2</v>
      </c>
      <c r="E32" s="59">
        <f t="shared" si="3"/>
        <v>229.79213442269784</v>
      </c>
      <c r="F32" s="59">
        <f t="shared" si="3"/>
        <v>121.56271521046021</v>
      </c>
      <c r="G32" s="59">
        <f t="shared" si="3"/>
        <v>189.57913076515149</v>
      </c>
      <c r="H32" s="60">
        <f t="shared" si="1"/>
        <v>4.6820751633986836E-2</v>
      </c>
      <c r="I32" s="61">
        <f t="shared" si="2"/>
        <v>3.7535382220811792E-2</v>
      </c>
    </row>
    <row r="33" spans="1:10">
      <c r="A33" s="57">
        <v>1949</v>
      </c>
      <c r="B33" s="58">
        <f>('[1]S&amp;P 500 &amp; Raw Data'!B25-'[1]S&amp;P 500 &amp; Raw Data'!B24+'[1]S&amp;P 500 &amp; Raw Data'!C25)/'[1]S&amp;P 500 &amp; Raw Data'!B24</f>
        <v>0.18303223684210526</v>
      </c>
      <c r="C33" s="58">
        <f>'[1]T. Bill rates'!G28</f>
        <v>1.1025E-2</v>
      </c>
      <c r="D33" s="58">
        <f>'[1]S&amp;P 500 &amp; Raw Data'!F25</f>
        <v>4.6634851827973139E-2</v>
      </c>
      <c r="E33" s="59">
        <f t="shared" si="3"/>
        <v>271.85150279480598</v>
      </c>
      <c r="F33" s="59">
        <f t="shared" si="3"/>
        <v>122.90294414565554</v>
      </c>
      <c r="G33" s="59">
        <f t="shared" si="3"/>
        <v>198.42012543806027</v>
      </c>
      <c r="H33" s="60">
        <f t="shared" si="1"/>
        <v>0.17200723684210525</v>
      </c>
      <c r="I33" s="61">
        <f t="shared" si="2"/>
        <v>0.13639738501413212</v>
      </c>
    </row>
    <row r="34" spans="1:10">
      <c r="A34" s="57">
        <v>1950</v>
      </c>
      <c r="B34" s="58">
        <f>('[1]S&amp;P 500 &amp; Raw Data'!B26-'[1]S&amp;P 500 &amp; Raw Data'!B25+'[1]S&amp;P 500 &amp; Raw Data'!C26)/'[1]S&amp;P 500 &amp; Raw Data'!B25</f>
        <v>0.30805539011316263</v>
      </c>
      <c r="C34" s="58">
        <f>'[1]T. Bill rates'!G29</f>
        <v>1.1724999999999999E-2</v>
      </c>
      <c r="D34" s="58">
        <f>'[1]S&amp;P 500 &amp; Raw Data'!F26</f>
        <v>4.2959574171096103E-3</v>
      </c>
      <c r="E34" s="59">
        <f t="shared" si="3"/>
        <v>355.59682354110947</v>
      </c>
      <c r="F34" s="59">
        <f t="shared" si="3"/>
        <v>124.34398116576335</v>
      </c>
      <c r="G34" s="59">
        <f t="shared" si="3"/>
        <v>199.2725298476397</v>
      </c>
      <c r="H34" s="60">
        <f t="shared" si="1"/>
        <v>0.29633039011316264</v>
      </c>
      <c r="I34" s="61">
        <f t="shared" si="2"/>
        <v>0.30375943269605304</v>
      </c>
    </row>
    <row r="35" spans="1:10">
      <c r="A35" s="57">
        <v>1951</v>
      </c>
      <c r="B35" s="58">
        <f>('[1]S&amp;P 500 &amp; Raw Data'!B27-'[1]S&amp;P 500 &amp; Raw Data'!B26+'[1]S&amp;P 500 &amp; Raw Data'!C27)/'[1]S&amp;P 500 &amp; Raw Data'!B26</f>
        <v>0.23678463044542339</v>
      </c>
      <c r="C35" s="58">
        <f>'[1]T. Bill rates'!G30</f>
        <v>1.4775E-2</v>
      </c>
      <c r="D35" s="58">
        <f>'[1]S&amp;P 500 &amp; Raw Data'!F27</f>
        <v>-2.9531392208319886E-3</v>
      </c>
      <c r="E35" s="59">
        <f t="shared" si="3"/>
        <v>439.7966859908575</v>
      </c>
      <c r="F35" s="59">
        <f t="shared" si="3"/>
        <v>126.18116348748751</v>
      </c>
      <c r="G35" s="59">
        <f t="shared" si="3"/>
        <v>198.68405032411223</v>
      </c>
      <c r="H35" s="60">
        <f t="shared" si="1"/>
        <v>0.22200963044542338</v>
      </c>
      <c r="I35" s="61">
        <f t="shared" si="2"/>
        <v>0.23973776966625537</v>
      </c>
    </row>
    <row r="36" spans="1:10">
      <c r="A36" s="57">
        <v>1952</v>
      </c>
      <c r="B36" s="58">
        <f>('[1]S&amp;P 500 &amp; Raw Data'!B28-'[1]S&amp;P 500 &amp; Raw Data'!B27+'[1]S&amp;P 500 &amp; Raw Data'!C28)/'[1]S&amp;P 500 &amp; Raw Data'!B27</f>
        <v>0.18150988641144306</v>
      </c>
      <c r="C36" s="58">
        <f>'[1]T. Bill rates'!G31</f>
        <v>1.6725E-2</v>
      </c>
      <c r="D36" s="58">
        <f>'[1]S&amp;P 500 &amp; Raw Data'!F28</f>
        <v>2.2679961918305656E-2</v>
      </c>
      <c r="E36" s="59">
        <f t="shared" si="3"/>
        <v>519.62413250918712</v>
      </c>
      <c r="F36" s="59">
        <f t="shared" si="3"/>
        <v>128.29154344681575</v>
      </c>
      <c r="G36" s="59">
        <f t="shared" si="3"/>
        <v>203.19019701923781</v>
      </c>
      <c r="H36" s="60">
        <f t="shared" si="1"/>
        <v>0.16478488641144307</v>
      </c>
      <c r="I36" s="61">
        <f t="shared" si="2"/>
        <v>0.1588299244931374</v>
      </c>
    </row>
    <row r="37" spans="1:10">
      <c r="A37" s="57">
        <v>1953</v>
      </c>
      <c r="B37" s="58">
        <f>('[1]S&amp;P 500 &amp; Raw Data'!B29-'[1]S&amp;P 500 &amp; Raw Data'!B28+'[1]S&amp;P 500 &amp; Raw Data'!C29)/'[1]S&amp;P 500 &amp; Raw Data'!B28</f>
        <v>-1.2082047421904465E-2</v>
      </c>
      <c r="C37" s="58">
        <f>'[1]T. Bill rates'!G32</f>
        <v>1.8925000000000001E-2</v>
      </c>
      <c r="D37" s="58">
        <f>'[1]S&amp;P 500 &amp; Raw Data'!F29</f>
        <v>4.1438402589088513E-2</v>
      </c>
      <c r="E37" s="59">
        <f t="shared" si="3"/>
        <v>513.34600909864514</v>
      </c>
      <c r="F37" s="59">
        <f t="shared" si="3"/>
        <v>130.71946090654674</v>
      </c>
      <c r="G37" s="59">
        <f t="shared" si="3"/>
        <v>211.61007420547722</v>
      </c>
      <c r="H37" s="60">
        <f t="shared" si="1"/>
        <v>-3.1007047421904466E-2</v>
      </c>
      <c r="I37" s="61">
        <f t="shared" si="2"/>
        <v>-5.3520450010992981E-2</v>
      </c>
    </row>
    <row r="38" spans="1:10">
      <c r="A38" s="57">
        <v>1954</v>
      </c>
      <c r="B38" s="58">
        <f>('[1]S&amp;P 500 &amp; Raw Data'!B30-'[1]S&amp;P 500 &amp; Raw Data'!B29+'[1]S&amp;P 500 &amp; Raw Data'!C30)/'[1]S&amp;P 500 &amp; Raw Data'!B29</f>
        <v>0.52563321241434902</v>
      </c>
      <c r="C38" s="58">
        <f>'[1]T. Bill rates'!G33</f>
        <v>9.6249999999999999E-3</v>
      </c>
      <c r="D38" s="58">
        <f>'[1]S&amp;P 500 &amp; Raw Data'!F30</f>
        <v>3.2898034558095555E-2</v>
      </c>
      <c r="E38" s="59">
        <f t="shared" si="3"/>
        <v>783.17772094125166</v>
      </c>
      <c r="F38" s="59">
        <f t="shared" si="3"/>
        <v>131.97763571777224</v>
      </c>
      <c r="G38" s="59">
        <f t="shared" si="3"/>
        <v>218.57162973953018</v>
      </c>
      <c r="H38" s="60">
        <f t="shared" si="1"/>
        <v>0.51600821241434902</v>
      </c>
      <c r="I38" s="61">
        <f t="shared" si="2"/>
        <v>0.49273517785625348</v>
      </c>
    </row>
    <row r="39" spans="1:10">
      <c r="A39" s="57">
        <v>1955</v>
      </c>
      <c r="B39" s="58">
        <f>('[1]S&amp;P 500 &amp; Raw Data'!B31-'[1]S&amp;P 500 &amp; Raw Data'!B30+'[1]S&amp;P 500 &amp; Raw Data'!C31)/'[1]S&amp;P 500 &amp; Raw Data'!B30</f>
        <v>0.32597331851028349</v>
      </c>
      <c r="C39" s="58">
        <f>'[1]T. Bill rates'!G34</f>
        <v>1.66E-2</v>
      </c>
      <c r="D39" s="58">
        <f>'[1]S&amp;P 500 &amp; Raw Data'!F31</f>
        <v>-1.3364391288618781E-2</v>
      </c>
      <c r="E39" s="59">
        <f t="shared" si="3"/>
        <v>1038.4727616197922</v>
      </c>
      <c r="F39" s="59">
        <f t="shared" si="3"/>
        <v>134.16846447068727</v>
      </c>
      <c r="G39" s="59">
        <f t="shared" si="3"/>
        <v>215.65055295509998</v>
      </c>
      <c r="H39" s="60">
        <f t="shared" si="1"/>
        <v>0.30937331851028349</v>
      </c>
      <c r="I39" s="61">
        <f t="shared" si="2"/>
        <v>0.33933770979890227</v>
      </c>
    </row>
    <row r="40" spans="1:10">
      <c r="A40" s="57">
        <v>1956</v>
      </c>
      <c r="B40" s="58">
        <f>('[1]S&amp;P 500 &amp; Raw Data'!B32-'[1]S&amp;P 500 &amp; Raw Data'!B31+'[1]S&amp;P 500 &amp; Raw Data'!C32)/'[1]S&amp;P 500 &amp; Raw Data'!B31</f>
        <v>7.4395118733509347E-2</v>
      </c>
      <c r="C40" s="58">
        <f>'[1]T. Bill rates'!G35</f>
        <v>2.5550000000000003E-2</v>
      </c>
      <c r="D40" s="58">
        <f>'[1]S&amp;P 500 &amp; Raw Data'!F32</f>
        <v>-2.2557738173154165E-2</v>
      </c>
      <c r="E40" s="59">
        <f t="shared" si="3"/>
        <v>1115.7300660220119</v>
      </c>
      <c r="F40" s="59">
        <f t="shared" si="3"/>
        <v>137.59646873791331</v>
      </c>
      <c r="G40" s="59">
        <f t="shared" si="3"/>
        <v>210.78596424464291</v>
      </c>
      <c r="H40" s="60">
        <f t="shared" si="1"/>
        <v>4.8845118733509343E-2</v>
      </c>
      <c r="I40" s="61">
        <f t="shared" si="2"/>
        <v>9.6952856906663512E-2</v>
      </c>
    </row>
    <row r="41" spans="1:10">
      <c r="A41" s="57">
        <v>1957</v>
      </c>
      <c r="B41" s="58">
        <f>('[1]S&amp;P 500 &amp; Raw Data'!B33-'[1]S&amp;P 500 &amp; Raw Data'!B32+'[1]S&amp;P 500 &amp; Raw Data'!C33)/'[1]S&amp;P 500 &amp; Raw Data'!B32</f>
        <v>-0.1045736018855796</v>
      </c>
      <c r="C41" s="58">
        <f>'[1]T. Bill rates'!G36</f>
        <v>3.2300000000000002E-2</v>
      </c>
      <c r="D41" s="58">
        <f>'[1]S&amp;P 500 &amp; Raw Data'!F33</f>
        <v>6.7970128466249904E-2</v>
      </c>
      <c r="E41" s="59">
        <f t="shared" si="3"/>
        <v>999.05415428605454</v>
      </c>
      <c r="F41" s="59">
        <f t="shared" si="3"/>
        <v>142.04083467814792</v>
      </c>
      <c r="G41" s="59">
        <f t="shared" si="3"/>
        <v>225.11311331323367</v>
      </c>
      <c r="H41" s="60">
        <f t="shared" si="1"/>
        <v>-0.13687360188557959</v>
      </c>
      <c r="I41" s="61">
        <f t="shared" si="2"/>
        <v>-0.17254373035182952</v>
      </c>
    </row>
    <row r="42" spans="1:10">
      <c r="A42" s="57">
        <v>1958</v>
      </c>
      <c r="B42" s="58">
        <f>('[1]S&amp;P 500 &amp; Raw Data'!B34-'[1]S&amp;P 500 &amp; Raw Data'!B33+'[1]S&amp;P 500 &amp; Raw Data'!C34)/'[1]S&amp;P 500 &amp; Raw Data'!B33</f>
        <v>0.43719954988747184</v>
      </c>
      <c r="C42" s="58">
        <f>'[1]T. Bill rates'!G37</f>
        <v>1.7774999999999999E-2</v>
      </c>
      <c r="D42" s="58">
        <f>'[1]S&amp;P 500 &amp; Raw Data'!F34</f>
        <v>-2.0990181755274694E-2</v>
      </c>
      <c r="E42" s="59">
        <f t="shared" si="3"/>
        <v>1435.8401808531264</v>
      </c>
      <c r="F42" s="59">
        <f t="shared" si="3"/>
        <v>144.56561051455202</v>
      </c>
      <c r="G42" s="59">
        <f t="shared" si="3"/>
        <v>220.38794814929315</v>
      </c>
      <c r="H42" s="60">
        <f t="shared" si="1"/>
        <v>0.41942454988747185</v>
      </c>
      <c r="I42" s="61">
        <f t="shared" si="2"/>
        <v>0.45818973164274651</v>
      </c>
    </row>
    <row r="43" spans="1:10">
      <c r="A43" s="57">
        <v>1959</v>
      </c>
      <c r="B43" s="58">
        <f>('[1]S&amp;P 500 &amp; Raw Data'!B35-'[1]S&amp;P 500 &amp; Raw Data'!B34+'[1]S&amp;P 500 &amp; Raw Data'!C35)/'[1]S&amp;P 500 &amp; Raw Data'!B34</f>
        <v>0.12056457163557326</v>
      </c>
      <c r="C43" s="58">
        <f>'[1]T. Bill rates'!G38</f>
        <v>3.2549999999999996E-2</v>
      </c>
      <c r="D43" s="58">
        <f>'[1]S&amp;P 500 &amp; Raw Data'!F35</f>
        <v>-2.6466312591385065E-2</v>
      </c>
      <c r="E43" s="59">
        <f t="shared" si="3"/>
        <v>1608.9516371948275</v>
      </c>
      <c r="F43" s="59">
        <f t="shared" si="3"/>
        <v>149.2712211368007</v>
      </c>
      <c r="G43" s="59">
        <f t="shared" si="3"/>
        <v>214.55509182219998</v>
      </c>
      <c r="H43" s="60">
        <f t="shared" si="1"/>
        <v>8.801457163557326E-2</v>
      </c>
      <c r="I43" s="61">
        <f t="shared" si="2"/>
        <v>0.14703088422695831</v>
      </c>
    </row>
    <row r="44" spans="1:10">
      <c r="A44" s="57">
        <v>1960</v>
      </c>
      <c r="B44" s="58">
        <f>('[1]S&amp;P 500 &amp; Raw Data'!B36-'[1]S&amp;P 500 &amp; Raw Data'!B35+'[1]S&amp;P 500 &amp; Raw Data'!C36)/'[1]S&amp;P 500 &amp; Raw Data'!B35</f>
        <v>3.36535314743695E-3</v>
      </c>
      <c r="C44" s="58">
        <f>'[1]T. Bill rates'!G39</f>
        <v>3.0449999999999998E-2</v>
      </c>
      <c r="D44" s="58">
        <f>'[1]S&amp;P 500 &amp; Raw Data'!F36</f>
        <v>0.11639503690963365</v>
      </c>
      <c r="E44" s="59">
        <f t="shared" si="3"/>
        <v>1614.366327651135</v>
      </c>
      <c r="F44" s="59">
        <f t="shared" si="3"/>
        <v>153.81652982041629</v>
      </c>
      <c r="G44" s="59">
        <f t="shared" si="3"/>
        <v>239.52823965399477</v>
      </c>
      <c r="H44" s="60">
        <f t="shared" si="1"/>
        <v>-2.7084646852563048E-2</v>
      </c>
      <c r="I44" s="61">
        <f t="shared" si="2"/>
        <v>-0.1130296837621967</v>
      </c>
      <c r="J44" s="60">
        <f>((E44/100)^(1/(A44-$A$12+1)))-((G44/100)^(1/(A44-$A$12+1)))</f>
        <v>6.1119788031217315E-2</v>
      </c>
    </row>
    <row r="45" spans="1:10">
      <c r="A45" s="57">
        <v>1961</v>
      </c>
      <c r="B45" s="58">
        <f>('[1]S&amp;P 500 &amp; Raw Data'!B37-'[1]S&amp;P 500 &amp; Raw Data'!B36+'[1]S&amp;P 500 &amp; Raw Data'!C37)/'[1]S&amp;P 500 &amp; Raw Data'!B36</f>
        <v>0.26637712958182752</v>
      </c>
      <c r="C45" s="58">
        <f>'[1]T. Bill rates'!G40</f>
        <v>2.2675000000000001E-2</v>
      </c>
      <c r="D45" s="58">
        <f>'[1]S&amp;P 500 &amp; Raw Data'!F37</f>
        <v>2.0609208076323167E-2</v>
      </c>
      <c r="E45" s="59">
        <f t="shared" ref="E45:G60" si="4">E44*(1+B45)</f>
        <v>2044.3965961044005</v>
      </c>
      <c r="F45" s="59">
        <f t="shared" si="4"/>
        <v>157.30431963409424</v>
      </c>
      <c r="G45" s="59">
        <f t="shared" si="4"/>
        <v>244.46472698517934</v>
      </c>
      <c r="H45" s="60">
        <f t="shared" si="1"/>
        <v>0.24370212958182752</v>
      </c>
      <c r="I45" s="61">
        <f t="shared" si="2"/>
        <v>0.24576792150550436</v>
      </c>
      <c r="J45" s="60">
        <f t="shared" ref="J45:J93" si="5">((E45/100)^(1/(A45-$A$12+1)))-((G45/100)^(1/(A45-$A$12+1)))</f>
        <v>6.6173591829972622E-2</v>
      </c>
    </row>
    <row r="46" spans="1:10">
      <c r="A46" s="57">
        <v>1962</v>
      </c>
      <c r="B46" s="58">
        <f>('[1]S&amp;P 500 &amp; Raw Data'!B38-'[1]S&amp;P 500 &amp; Raw Data'!B37+'[1]S&amp;P 500 &amp; Raw Data'!C38)/'[1]S&amp;P 500 &amp; Raw Data'!B37</f>
        <v>-8.8114605171208879E-2</v>
      </c>
      <c r="C46" s="58">
        <f>'[1]T. Bill rates'!G41</f>
        <v>2.7775000000000005E-2</v>
      </c>
      <c r="D46" s="58">
        <f>'[1]S&amp;P 500 &amp; Raw Data'!F38</f>
        <v>5.693544054008462E-2</v>
      </c>
      <c r="E46" s="59">
        <f t="shared" si="4"/>
        <v>1864.2553972252979</v>
      </c>
      <c r="F46" s="59">
        <f t="shared" si="4"/>
        <v>161.67344711193124</v>
      </c>
      <c r="G46" s="59">
        <f t="shared" si="4"/>
        <v>258.38343391259201</v>
      </c>
      <c r="H46" s="60">
        <f t="shared" si="1"/>
        <v>-0.11588960517120889</v>
      </c>
      <c r="I46" s="61">
        <f t="shared" si="2"/>
        <v>-0.14505004571129348</v>
      </c>
      <c r="J46" s="60">
        <f t="shared" si="5"/>
        <v>5.9683465378989942E-2</v>
      </c>
    </row>
    <row r="47" spans="1:10">
      <c r="A47" s="57">
        <v>1963</v>
      </c>
      <c r="B47" s="58">
        <f>('[1]S&amp;P 500 &amp; Raw Data'!B39-'[1]S&amp;P 500 &amp; Raw Data'!B38+'[1]S&amp;P 500 &amp; Raw Data'!C39)/'[1]S&amp;P 500 &amp; Raw Data'!B38</f>
        <v>0.22611927099841514</v>
      </c>
      <c r="C47" s="58">
        <f>'[1]T. Bill rates'!G42</f>
        <v>3.1100000000000003E-2</v>
      </c>
      <c r="D47" s="58">
        <f>'[1]S&amp;P 500 &amp; Raw Data'!F39</f>
        <v>1.6841620739546127E-2</v>
      </c>
      <c r="E47" s="59">
        <f t="shared" si="4"/>
        <v>2285.7994686007432</v>
      </c>
      <c r="F47" s="59">
        <f t="shared" si="4"/>
        <v>166.70149131711227</v>
      </c>
      <c r="G47" s="59">
        <f t="shared" si="4"/>
        <v>262.73502971192949</v>
      </c>
      <c r="H47" s="60">
        <f t="shared" si="1"/>
        <v>0.19501927099841515</v>
      </c>
      <c r="I47" s="61">
        <f t="shared" si="2"/>
        <v>0.20927765025886902</v>
      </c>
      <c r="J47" s="60">
        <f t="shared" si="5"/>
        <v>6.3618993911514821E-2</v>
      </c>
    </row>
    <row r="48" spans="1:10">
      <c r="A48" s="57">
        <v>1964</v>
      </c>
      <c r="B48" s="58">
        <f>('[1]S&amp;P 500 &amp; Raw Data'!B40-'[1]S&amp;P 500 &amp; Raw Data'!B39+'[1]S&amp;P 500 &amp; Raw Data'!C40)/'[1]S&amp;P 500 &amp; Raw Data'!B39</f>
        <v>0.16415455878432425</v>
      </c>
      <c r="C48" s="58">
        <f>'[1]T. Bill rates'!G43</f>
        <v>3.5049999999999998E-2</v>
      </c>
      <c r="D48" s="58">
        <f>'[1]S&amp;P 500 &amp; Raw Data'!F40</f>
        <v>3.7280648911540815E-2</v>
      </c>
      <c r="E48" s="59">
        <f t="shared" si="4"/>
        <v>2661.0238718383412</v>
      </c>
      <c r="F48" s="59">
        <f t="shared" si="4"/>
        <v>172.54437858777706</v>
      </c>
      <c r="G48" s="59">
        <f t="shared" si="4"/>
        <v>272.52996211138321</v>
      </c>
      <c r="H48" s="60">
        <f t="shared" si="1"/>
        <v>0.12910455878432425</v>
      </c>
      <c r="I48" s="61">
        <f t="shared" si="2"/>
        <v>0.12687390987278344</v>
      </c>
      <c r="J48" s="60">
        <f t="shared" si="5"/>
        <v>6.5267777442658215E-2</v>
      </c>
    </row>
    <row r="49" spans="1:10">
      <c r="A49" s="57">
        <v>1965</v>
      </c>
      <c r="B49" s="58">
        <f>('[1]S&amp;P 500 &amp; Raw Data'!B41-'[1]S&amp;P 500 &amp; Raw Data'!B40+'[1]S&amp;P 500 &amp; Raw Data'!C41)/'[1]S&amp;P 500 &amp; Raw Data'!B40</f>
        <v>0.12399242477876114</v>
      </c>
      <c r="C49" s="58">
        <f>'[1]T. Bill rates'!G44</f>
        <v>3.9024999999999997E-2</v>
      </c>
      <c r="D49" s="58">
        <f>'[1]S&amp;P 500 &amp; Raw Data'!F41</f>
        <v>7.1885509359262342E-3</v>
      </c>
      <c r="E49" s="59">
        <f t="shared" si="4"/>
        <v>2990.9706741017444</v>
      </c>
      <c r="F49" s="59">
        <f t="shared" si="4"/>
        <v>179.27792296216506</v>
      </c>
      <c r="G49" s="59">
        <f t="shared" si="4"/>
        <v>274.48905762558695</v>
      </c>
      <c r="H49" s="60">
        <f t="shared" si="1"/>
        <v>8.4967424778761153E-2</v>
      </c>
      <c r="I49" s="61">
        <f t="shared" si="2"/>
        <v>0.11680387384283492</v>
      </c>
      <c r="J49" s="60">
        <f t="shared" si="5"/>
        <v>6.6617941689874449E-2</v>
      </c>
    </row>
    <row r="50" spans="1:10">
      <c r="A50" s="57">
        <v>1966</v>
      </c>
      <c r="B50" s="58">
        <f>('[1]S&amp;P 500 &amp; Raw Data'!B42-'[1]S&amp;P 500 &amp; Raw Data'!B41+'[1]S&amp;P 500 &amp; Raw Data'!C42)/'[1]S&amp;P 500 &amp; Raw Data'!B41</f>
        <v>-9.9709542356377898E-2</v>
      </c>
      <c r="C50" s="58">
        <f>'[1]T. Bill rates'!G45</f>
        <v>4.8399999999999999E-2</v>
      </c>
      <c r="D50" s="58">
        <f>'[1]S&amp;P 500 &amp; Raw Data'!F42</f>
        <v>2.9079409324299622E-2</v>
      </c>
      <c r="E50" s="59">
        <f t="shared" si="4"/>
        <v>2692.7423569857124</v>
      </c>
      <c r="F50" s="59">
        <f t="shared" si="4"/>
        <v>187.95497443353386</v>
      </c>
      <c r="G50" s="59">
        <f t="shared" si="4"/>
        <v>282.47103728732264</v>
      </c>
      <c r="H50" s="60">
        <f t="shared" si="1"/>
        <v>-0.14810954235637791</v>
      </c>
      <c r="I50" s="61">
        <f t="shared" si="2"/>
        <v>-0.12878895168067753</v>
      </c>
      <c r="J50" s="60">
        <f t="shared" si="5"/>
        <v>6.1123719679815336E-2</v>
      </c>
    </row>
    <row r="51" spans="1:10">
      <c r="A51" s="57">
        <v>1967</v>
      </c>
      <c r="B51" s="58">
        <f>('[1]S&amp;P 500 &amp; Raw Data'!B43-'[1]S&amp;P 500 &amp; Raw Data'!B42+'[1]S&amp;P 500 &amp; Raw Data'!C43)/'[1]S&amp;P 500 &amp; Raw Data'!B42</f>
        <v>0.23802966513133328</v>
      </c>
      <c r="C51" s="58">
        <f>'[1]T. Bill rates'!G46</f>
        <v>4.3324999999999995E-2</v>
      </c>
      <c r="D51" s="58">
        <f>'[1]S&amp;P 500 &amp; Raw Data'!F43</f>
        <v>-1.5806209932824666E-2</v>
      </c>
      <c r="E51" s="59">
        <f t="shared" si="4"/>
        <v>3333.6949185039784</v>
      </c>
      <c r="F51" s="59">
        <f t="shared" si="4"/>
        <v>196.09812370086672</v>
      </c>
      <c r="G51" s="59">
        <f t="shared" si="4"/>
        <v>278.0062407720165</v>
      </c>
      <c r="H51" s="60">
        <f t="shared" si="1"/>
        <v>0.19470466513133328</v>
      </c>
      <c r="I51" s="61">
        <f t="shared" si="2"/>
        <v>0.25383587506415795</v>
      </c>
      <c r="J51" s="60">
        <f t="shared" si="5"/>
        <v>6.5732838776739522E-2</v>
      </c>
    </row>
    <row r="52" spans="1:10">
      <c r="A52" s="57">
        <v>1968</v>
      </c>
      <c r="B52" s="58">
        <f>('[1]S&amp;P 500 &amp; Raw Data'!B44-'[1]S&amp;P 500 &amp; Raw Data'!B43+'[1]S&amp;P 500 &amp; Raw Data'!C44)/'[1]S&amp;P 500 &amp; Raw Data'!B43</f>
        <v>0.10814862651601535</v>
      </c>
      <c r="C52" s="58">
        <f>'[1]T. Bill rates'!G47</f>
        <v>5.2600000000000001E-2</v>
      </c>
      <c r="D52" s="58">
        <f>'[1]S&amp;P 500 &amp; Raw Data'!F44</f>
        <v>3.2746196950768365E-2</v>
      </c>
      <c r="E52" s="59">
        <f t="shared" si="4"/>
        <v>3694.2294451636035</v>
      </c>
      <c r="F52" s="59">
        <f t="shared" si="4"/>
        <v>206.41288500753231</v>
      </c>
      <c r="G52" s="59">
        <f t="shared" si="4"/>
        <v>287.10988788587969</v>
      </c>
      <c r="H52" s="60">
        <f t="shared" si="1"/>
        <v>5.5548626516015352E-2</v>
      </c>
      <c r="I52" s="61">
        <f t="shared" si="2"/>
        <v>7.5402429565246981E-2</v>
      </c>
      <c r="J52" s="60">
        <f t="shared" si="5"/>
        <v>6.596627828748769E-2</v>
      </c>
    </row>
    <row r="53" spans="1:10">
      <c r="A53" s="57">
        <v>1969</v>
      </c>
      <c r="B53" s="58">
        <f>('[1]S&amp;P 500 &amp; Raw Data'!B45-'[1]S&amp;P 500 &amp; Raw Data'!B44+'[1]S&amp;P 500 &amp; Raw Data'!C45)/'[1]S&amp;P 500 &amp; Raw Data'!B44</f>
        <v>-8.2413710764490639E-2</v>
      </c>
      <c r="C53" s="58">
        <f>'[1]T. Bill rates'!G48</f>
        <v>6.5625000000000003E-2</v>
      </c>
      <c r="D53" s="58">
        <f>'[1]S&amp;P 500 &amp; Raw Data'!F45</f>
        <v>-5.0140493209926106E-2</v>
      </c>
      <c r="E53" s="59">
        <f t="shared" si="4"/>
        <v>3389.7742881722256</v>
      </c>
      <c r="F53" s="59">
        <f t="shared" si="4"/>
        <v>219.95873058615163</v>
      </c>
      <c r="G53" s="59">
        <f t="shared" si="4"/>
        <v>272.7140565018351</v>
      </c>
      <c r="H53" s="60">
        <f t="shared" si="1"/>
        <v>-0.14803871076449066</v>
      </c>
      <c r="I53" s="61">
        <f t="shared" si="2"/>
        <v>-3.2273217554564533E-2</v>
      </c>
      <c r="J53" s="60">
        <f t="shared" si="5"/>
        <v>6.3333872734198771E-2</v>
      </c>
    </row>
    <row r="54" spans="1:10">
      <c r="A54" s="57">
        <v>1970</v>
      </c>
      <c r="B54" s="58">
        <f>('[1]S&amp;P 500 &amp; Raw Data'!B46-'[1]S&amp;P 500 &amp; Raw Data'!B45+'[1]S&amp;P 500 &amp; Raw Data'!C46)/'[1]S&amp;P 500 &amp; Raw Data'!B45</f>
        <v>3.5611449054964189E-2</v>
      </c>
      <c r="C54" s="58">
        <f>'[1]T. Bill rates'!G49</f>
        <v>6.6849999999999993E-2</v>
      </c>
      <c r="D54" s="58">
        <f>'[1]S&amp;P 500 &amp; Raw Data'!F46</f>
        <v>0.16754737183412338</v>
      </c>
      <c r="E54" s="59">
        <f t="shared" si="4"/>
        <v>3510.4890625432981</v>
      </c>
      <c r="F54" s="59">
        <f t="shared" si="4"/>
        <v>234.66297172583589</v>
      </c>
      <c r="G54" s="59">
        <f t="shared" si="4"/>
        <v>318.40657993094021</v>
      </c>
      <c r="H54" s="60">
        <f t="shared" si="1"/>
        <v>-3.1238550945035803E-2</v>
      </c>
      <c r="I54" s="61">
        <f t="shared" si="2"/>
        <v>-0.13193592277915919</v>
      </c>
      <c r="J54" s="60">
        <f t="shared" si="5"/>
        <v>5.8972566666315007E-2</v>
      </c>
    </row>
    <row r="55" spans="1:10">
      <c r="A55" s="57">
        <v>1971</v>
      </c>
      <c r="B55" s="58">
        <f>('[1]S&amp;P 500 &amp; Raw Data'!B47-'[1]S&amp;P 500 &amp; Raw Data'!B46+'[1]S&amp;P 500 &amp; Raw Data'!C47)/'[1]S&amp;P 500 &amp; Raw Data'!B46</f>
        <v>0.14221150298426474</v>
      </c>
      <c r="C55" s="58">
        <f>'[1]T. Bill rates'!G50</f>
        <v>4.5400000000000003E-2</v>
      </c>
      <c r="D55" s="58">
        <f>'[1]S&amp;P 500 &amp; Raw Data'!F47</f>
        <v>9.7868966197122972E-2</v>
      </c>
      <c r="E55" s="59">
        <f t="shared" si="4"/>
        <v>4009.720988337403</v>
      </c>
      <c r="F55" s="59">
        <f t="shared" si="4"/>
        <v>245.31667064218885</v>
      </c>
      <c r="G55" s="59">
        <f t="shared" si="4"/>
        <v>349.56870273914296</v>
      </c>
      <c r="H55" s="60">
        <f t="shared" si="1"/>
        <v>9.6811502984264747E-2</v>
      </c>
      <c r="I55" s="61">
        <f t="shared" si="2"/>
        <v>4.434253678714177E-2</v>
      </c>
      <c r="J55" s="60">
        <f t="shared" si="5"/>
        <v>5.8660636809878541E-2</v>
      </c>
    </row>
    <row r="56" spans="1:10">
      <c r="A56" s="57">
        <v>1972</v>
      </c>
      <c r="B56" s="58">
        <f>('[1]S&amp;P 500 &amp; Raw Data'!B48-'[1]S&amp;P 500 &amp; Raw Data'!B47+'[1]S&amp;P 500 &amp; Raw Data'!C48)/'[1]S&amp;P 500 &amp; Raw Data'!B47</f>
        <v>0.18755362915074925</v>
      </c>
      <c r="C56" s="58">
        <f>'[1]T. Bill rates'!G51</f>
        <v>3.9525000000000005E-2</v>
      </c>
      <c r="D56" s="58">
        <f>'[1]S&amp;P 500 &amp; Raw Data'!F48</f>
        <v>2.818449050444969E-2</v>
      </c>
      <c r="E56" s="59">
        <f t="shared" si="4"/>
        <v>4761.7587115820115</v>
      </c>
      <c r="F56" s="59">
        <f t="shared" si="4"/>
        <v>255.01281204932138</v>
      </c>
      <c r="G56" s="59">
        <f t="shared" si="4"/>
        <v>359.42111852214714</v>
      </c>
      <c r="H56" s="60">
        <f t="shared" si="1"/>
        <v>0.14802862915074924</v>
      </c>
      <c r="I56" s="61">
        <f t="shared" si="2"/>
        <v>0.15936913864629956</v>
      </c>
      <c r="J56" s="60">
        <f t="shared" si="5"/>
        <v>6.0804303728189568E-2</v>
      </c>
    </row>
    <row r="57" spans="1:10">
      <c r="A57" s="57">
        <v>1973</v>
      </c>
      <c r="B57" s="58">
        <f>('[1]S&amp;P 500 &amp; Raw Data'!B49-'[1]S&amp;P 500 &amp; Raw Data'!B48+'[1]S&amp;P 500 &amp; Raw Data'!C49)/'[1]S&amp;P 500 &amp; Raw Data'!B48</f>
        <v>-0.14308047437526472</v>
      </c>
      <c r="C57" s="58">
        <f>'[1]T. Bill rates'!G52</f>
        <v>6.724999999999999E-2</v>
      </c>
      <c r="D57" s="58">
        <f>'[1]S&amp;P 500 &amp; Raw Data'!F49</f>
        <v>3.6586646024150085E-2</v>
      </c>
      <c r="E57" s="59">
        <f t="shared" si="4"/>
        <v>4080.4440162683081</v>
      </c>
      <c r="F57" s="59">
        <f t="shared" si="4"/>
        <v>272.16242365963825</v>
      </c>
      <c r="G57" s="59">
        <f t="shared" si="4"/>
        <v>372.57113175912104</v>
      </c>
      <c r="H57" s="60">
        <f t="shared" si="1"/>
        <v>-0.2103304743752647</v>
      </c>
      <c r="I57" s="61">
        <f t="shared" si="2"/>
        <v>-0.17966712039941479</v>
      </c>
      <c r="J57" s="60">
        <f t="shared" si="5"/>
        <v>5.4960045718843054E-2</v>
      </c>
    </row>
    <row r="58" spans="1:10">
      <c r="A58" s="57">
        <v>1974</v>
      </c>
      <c r="B58" s="58">
        <f>('[1]S&amp;P 500 &amp; Raw Data'!B50-'[1]S&amp;P 500 &amp; Raw Data'!B49+'[1]S&amp;P 500 &amp; Raw Data'!C50)/'[1]S&amp;P 500 &amp; Raw Data'!B49</f>
        <v>-0.25901785750896972</v>
      </c>
      <c r="C58" s="58">
        <f>'[1]T. Bill rates'!G53</f>
        <v>7.7775000000000011E-2</v>
      </c>
      <c r="D58" s="58">
        <f>'[1]S&amp;P 500 &amp; Raw Data'!F50</f>
        <v>1.9886086932378574E-2</v>
      </c>
      <c r="E58" s="59">
        <f t="shared" si="4"/>
        <v>3023.5361494891954</v>
      </c>
      <c r="F58" s="59">
        <f t="shared" si="4"/>
        <v>293.32985615976662</v>
      </c>
      <c r="G58" s="59">
        <f t="shared" si="4"/>
        <v>379.98011367377757</v>
      </c>
      <c r="H58" s="60">
        <f t="shared" si="1"/>
        <v>-0.3367928575089697</v>
      </c>
      <c r="I58" s="61">
        <f t="shared" si="2"/>
        <v>-0.27890394444134831</v>
      </c>
      <c r="J58" s="60">
        <f t="shared" si="5"/>
        <v>4.6417018581159875E-2</v>
      </c>
    </row>
    <row r="59" spans="1:10">
      <c r="A59" s="57">
        <v>1975</v>
      </c>
      <c r="B59" s="58">
        <f>('[1]S&amp;P 500 &amp; Raw Data'!B51-'[1]S&amp;P 500 &amp; Raw Data'!B50+'[1]S&amp;P 500 &amp; Raw Data'!C51)/'[1]S&amp;P 500 &amp; Raw Data'!B50</f>
        <v>0.36995137106184356</v>
      </c>
      <c r="C59" s="58">
        <f>'[1]T. Bill rates'!G54</f>
        <v>5.9900000000000002E-2</v>
      </c>
      <c r="D59" s="58">
        <f>'[1]S&amp;P 500 &amp; Raw Data'!F51</f>
        <v>3.6052536026033838E-2</v>
      </c>
      <c r="E59" s="59">
        <f t="shared" si="4"/>
        <v>4142.0974934477708</v>
      </c>
      <c r="F59" s="59">
        <f t="shared" si="4"/>
        <v>310.90031454373667</v>
      </c>
      <c r="G59" s="59">
        <f t="shared" si="4"/>
        <v>393.67936041117781</v>
      </c>
      <c r="H59" s="60">
        <f t="shared" si="1"/>
        <v>0.31005137106184355</v>
      </c>
      <c r="I59" s="61">
        <f t="shared" si="2"/>
        <v>0.33389883503580975</v>
      </c>
      <c r="J59" s="60">
        <f t="shared" si="5"/>
        <v>5.1706756781676244E-2</v>
      </c>
    </row>
    <row r="60" spans="1:10">
      <c r="A60" s="57">
        <v>1976</v>
      </c>
      <c r="B60" s="58">
        <f>('[1]S&amp;P 500 &amp; Raw Data'!B52-'[1]S&amp;P 500 &amp; Raw Data'!B51+'[1]S&amp;P 500 &amp; Raw Data'!C52)/'[1]S&amp;P 500 &amp; Raw Data'!B51</f>
        <v>0.23830999002106662</v>
      </c>
      <c r="C60" s="58">
        <f>'[1]T. Bill rates'!G55</f>
        <v>4.9700000000000008E-2</v>
      </c>
      <c r="D60" s="58">
        <f>'[1]S&amp;P 500 &amp; Raw Data'!F52</f>
        <v>0.1598456074290921</v>
      </c>
      <c r="E60" s="59">
        <f t="shared" si="4"/>
        <v>5129.2007057775936</v>
      </c>
      <c r="F60" s="59">
        <f t="shared" si="4"/>
        <v>326.35206017656043</v>
      </c>
      <c r="G60" s="59">
        <f t="shared" si="4"/>
        <v>456.607276908399</v>
      </c>
      <c r="H60" s="60">
        <f t="shared" si="1"/>
        <v>0.1886099900210666</v>
      </c>
      <c r="I60" s="61">
        <f t="shared" si="2"/>
        <v>7.8464382591974524E-2</v>
      </c>
      <c r="J60" s="60">
        <f t="shared" si="5"/>
        <v>5.2196588038950109E-2</v>
      </c>
    </row>
    <row r="61" spans="1:10">
      <c r="A61" s="57">
        <v>1977</v>
      </c>
      <c r="B61" s="58">
        <f>('[1]S&amp;P 500 &amp; Raw Data'!B53-'[1]S&amp;P 500 &amp; Raw Data'!B52+'[1]S&amp;P 500 &amp; Raw Data'!C53)/'[1]S&amp;P 500 &amp; Raw Data'!B52</f>
        <v>-6.9797040759352322E-2</v>
      </c>
      <c r="C61" s="58">
        <f>'[1]T. Bill rates'!G56</f>
        <v>5.1275000000000001E-2</v>
      </c>
      <c r="D61" s="58">
        <f>'[1]S&amp;P 500 &amp; Raw Data'!F53</f>
        <v>1.2899606071070449E-2</v>
      </c>
      <c r="E61" s="59">
        <f t="shared" ref="E61:G76" si="6">E60*(1+B61)</f>
        <v>4771.1976750535359</v>
      </c>
      <c r="F61" s="59">
        <f t="shared" si="6"/>
        <v>343.08576206211353</v>
      </c>
      <c r="G61" s="59">
        <f t="shared" si="6"/>
        <v>462.49733090970153</v>
      </c>
      <c r="H61" s="60">
        <f t="shared" si="1"/>
        <v>-0.12107204075935232</v>
      </c>
      <c r="I61" s="61">
        <f t="shared" si="2"/>
        <v>-8.2696646830422771E-2</v>
      </c>
      <c r="J61" s="60">
        <f t="shared" si="5"/>
        <v>4.9266761357046551E-2</v>
      </c>
    </row>
    <row r="62" spans="1:10">
      <c r="A62" s="57">
        <v>1978</v>
      </c>
      <c r="B62" s="58">
        <f>('[1]S&amp;P 500 &amp; Raw Data'!B54-'[1]S&amp;P 500 &amp; Raw Data'!B53+'[1]S&amp;P 500 &amp; Raw Data'!C54)/'[1]S&amp;P 500 &amp; Raw Data'!B53</f>
        <v>6.50928391167193E-2</v>
      </c>
      <c r="C62" s="58">
        <f>'[1]T. Bill rates'!G57</f>
        <v>6.9325000000000012E-2</v>
      </c>
      <c r="D62" s="58">
        <f>'[1]S&amp;P 500 &amp; Raw Data'!F54</f>
        <v>-7.7758069075086478E-3</v>
      </c>
      <c r="E62" s="59">
        <f t="shared" si="6"/>
        <v>5081.7684777098611</v>
      </c>
      <c r="F62" s="59">
        <f t="shared" si="6"/>
        <v>366.87018251706957</v>
      </c>
      <c r="G62" s="59">
        <f t="shared" si="6"/>
        <v>458.90104096930958</v>
      </c>
      <c r="H62" s="60">
        <f t="shared" si="1"/>
        <v>-4.2321608832807112E-3</v>
      </c>
      <c r="I62" s="61">
        <f t="shared" si="2"/>
        <v>7.2868646024227948E-2</v>
      </c>
      <c r="J62" s="60">
        <f t="shared" si="5"/>
        <v>4.9741898913203242E-2</v>
      </c>
    </row>
    <row r="63" spans="1:10">
      <c r="A63" s="57">
        <v>1979</v>
      </c>
      <c r="B63" s="58">
        <f>('[1]S&amp;P 500 &amp; Raw Data'!B55-'[1]S&amp;P 500 &amp; Raw Data'!B54+'[1]S&amp;P 500 &amp; Raw Data'!C55)/'[1]S&amp;P 500 &amp; Raw Data'!B54</f>
        <v>0.18519490167516386</v>
      </c>
      <c r="C63" s="58">
        <f>'[1]T. Bill rates'!G58</f>
        <v>9.9375000000000005E-2</v>
      </c>
      <c r="D63" s="58">
        <f>'[1]S&amp;P 500 &amp; Raw Data'!F55</f>
        <v>6.7072031247235459E-3</v>
      </c>
      <c r="E63" s="59">
        <f t="shared" si="6"/>
        <v>6022.8860912752862</v>
      </c>
      <c r="F63" s="59">
        <f t="shared" si="6"/>
        <v>403.32790690470335</v>
      </c>
      <c r="G63" s="59">
        <f t="shared" si="6"/>
        <v>461.97898346523777</v>
      </c>
      <c r="H63" s="60">
        <f t="shared" si="1"/>
        <v>8.5819901675163859E-2</v>
      </c>
      <c r="I63" s="61">
        <f t="shared" si="2"/>
        <v>0.17848769855044033</v>
      </c>
      <c r="J63" s="60">
        <f t="shared" si="5"/>
        <v>5.2132252828986925E-2</v>
      </c>
    </row>
    <row r="64" spans="1:10">
      <c r="A64" s="57">
        <v>1980</v>
      </c>
      <c r="B64" s="58">
        <f>('[1]S&amp;P 500 &amp; Raw Data'!B56-'[1]S&amp;P 500 &amp; Raw Data'!B55+'[1]S&amp;P 500 &amp; Raw Data'!C56)/'[1]S&amp;P 500 &amp; Raw Data'!B55</f>
        <v>0.3173524550676301</v>
      </c>
      <c r="C64" s="58">
        <f>'[1]T. Bill rates'!G59</f>
        <v>0.11219999999999999</v>
      </c>
      <c r="D64" s="58">
        <f>'[1]S&amp;P 500 &amp; Raw Data'!F56</f>
        <v>-2.989744251999403E-2</v>
      </c>
      <c r="E64" s="59">
        <f t="shared" si="6"/>
        <v>7934.2637789341807</v>
      </c>
      <c r="F64" s="59">
        <f t="shared" si="6"/>
        <v>448.5812980594111</v>
      </c>
      <c r="G64" s="59">
        <f t="shared" si="6"/>
        <v>448.16699336164055</v>
      </c>
      <c r="H64" s="60">
        <f t="shared" si="1"/>
        <v>0.20515245506763011</v>
      </c>
      <c r="I64" s="61">
        <f t="shared" si="2"/>
        <v>0.34724989758762415</v>
      </c>
      <c r="J64" s="60">
        <f t="shared" si="5"/>
        <v>5.7318705257589642E-2</v>
      </c>
    </row>
    <row r="65" spans="1:10">
      <c r="A65" s="57">
        <v>1981</v>
      </c>
      <c r="B65" s="58">
        <f>('[1]S&amp;P 500 &amp; Raw Data'!B57-'[1]S&amp;P 500 &amp; Raw Data'!B56+'[1]S&amp;P 500 &amp; Raw Data'!C57)/'[1]S&amp;P 500 &amp; Raw Data'!B56</f>
        <v>-4.7023902474955762E-2</v>
      </c>
      <c r="C65" s="58">
        <f>'[1]T. Bill rates'!G60</f>
        <v>0.14299999999999999</v>
      </c>
      <c r="D65" s="58">
        <f>'[1]S&amp;P 500 &amp; Raw Data'!F57</f>
        <v>8.1992153358923542E-2</v>
      </c>
      <c r="E65" s="59">
        <f t="shared" si="6"/>
        <v>7561.1637327830058</v>
      </c>
      <c r="F65" s="59">
        <f t="shared" si="6"/>
        <v>512.72842368190686</v>
      </c>
      <c r="G65" s="59">
        <f t="shared" si="6"/>
        <v>484.91317021175587</v>
      </c>
      <c r="H65" s="60">
        <f t="shared" si="1"/>
        <v>-0.19002390247495576</v>
      </c>
      <c r="I65" s="61">
        <f t="shared" si="2"/>
        <v>-0.12901605583387932</v>
      </c>
      <c r="J65" s="60">
        <f t="shared" si="5"/>
        <v>5.3730990468644491E-2</v>
      </c>
    </row>
    <row r="66" spans="1:10">
      <c r="A66" s="57">
        <v>1982</v>
      </c>
      <c r="B66" s="58">
        <f>('[1]S&amp;P 500 &amp; Raw Data'!B58-'[1]S&amp;P 500 &amp; Raw Data'!B57+'[1]S&amp;P 500 &amp; Raw Data'!C58)/'[1]S&amp;P 500 &amp; Raw Data'!B57</f>
        <v>0.20419055079559353</v>
      </c>
      <c r="C66" s="58">
        <f>'[1]T. Bill rates'!G61</f>
        <v>0.1101</v>
      </c>
      <c r="D66" s="58">
        <f>'[1]S&amp;P 500 &amp; Raw Data'!F58</f>
        <v>0.32814549486295586</v>
      </c>
      <c r="E66" s="59">
        <f t="shared" si="6"/>
        <v>9105.0819200356327</v>
      </c>
      <c r="F66" s="59">
        <f t="shared" si="6"/>
        <v>569.17982312928484</v>
      </c>
      <c r="G66" s="59">
        <f t="shared" si="6"/>
        <v>644.03524241645721</v>
      </c>
      <c r="H66" s="60">
        <f t="shared" si="1"/>
        <v>9.4090550795593531E-2</v>
      </c>
      <c r="I66" s="61">
        <f t="shared" si="2"/>
        <v>-0.12395494406736232</v>
      </c>
      <c r="J66" s="60">
        <f t="shared" si="5"/>
        <v>5.1038688692139678E-2</v>
      </c>
    </row>
    <row r="67" spans="1:10">
      <c r="A67" s="57">
        <v>1983</v>
      </c>
      <c r="B67" s="58">
        <f>('[1]S&amp;P 500 &amp; Raw Data'!B59-'[1]S&amp;P 500 &amp; Raw Data'!B58+'[1]S&amp;P 500 &amp; Raw Data'!C59)/'[1]S&amp;P 500 &amp; Raw Data'!B58</f>
        <v>0.22337155858930619</v>
      </c>
      <c r="C67" s="58">
        <f>'[1]T. Bill rates'!G62</f>
        <v>8.4474999999999995E-2</v>
      </c>
      <c r="D67" s="58">
        <f>'[1]S&amp;P 500 &amp; Raw Data'!F59</f>
        <v>3.2002094451429264E-2</v>
      </c>
      <c r="E67" s="59">
        <f t="shared" si="6"/>
        <v>11138.898259597305</v>
      </c>
      <c r="F67" s="59">
        <f t="shared" si="6"/>
        <v>617.26128868813123</v>
      </c>
      <c r="G67" s="59">
        <f t="shared" si="6"/>
        <v>664.64571907431775</v>
      </c>
      <c r="H67" s="60">
        <f t="shared" si="1"/>
        <v>0.13889655858930619</v>
      </c>
      <c r="I67" s="61">
        <f t="shared" si="2"/>
        <v>0.19136946413787692</v>
      </c>
      <c r="J67" s="60">
        <f t="shared" si="5"/>
        <v>5.3402830654563971E-2</v>
      </c>
    </row>
    <row r="68" spans="1:10">
      <c r="A68" s="57">
        <v>1984</v>
      </c>
      <c r="B68" s="58">
        <f>('[1]S&amp;P 500 &amp; Raw Data'!B60-'[1]S&amp;P 500 &amp; Raw Data'!B59+'[1]S&amp;P 500 &amp; Raw Data'!C60)/'[1]S&amp;P 500 &amp; Raw Data'!B59</f>
        <v>6.14614199963621E-2</v>
      </c>
      <c r="C68" s="58">
        <f>'[1]T. Bill rates'!G63</f>
        <v>9.6125000000000002E-2</v>
      </c>
      <c r="D68" s="58">
        <f>'[1]S&amp;P 500 &amp; Raw Data'!F60</f>
        <v>0.13733364344102345</v>
      </c>
      <c r="E68" s="59">
        <f t="shared" si="6"/>
        <v>11823.510763827162</v>
      </c>
      <c r="F68" s="59">
        <f t="shared" si="6"/>
        <v>676.59553006327781</v>
      </c>
      <c r="G68" s="59">
        <f t="shared" si="6"/>
        <v>755.92393727227272</v>
      </c>
      <c r="H68" s="60">
        <f t="shared" si="1"/>
        <v>-3.4663580003637902E-2</v>
      </c>
      <c r="I68" s="61">
        <f t="shared" si="2"/>
        <v>-7.5872223444661352E-2</v>
      </c>
      <c r="J68" s="60">
        <f t="shared" si="5"/>
        <v>5.1212126318051387E-2</v>
      </c>
    </row>
    <row r="69" spans="1:10">
      <c r="A69" s="57">
        <v>1985</v>
      </c>
      <c r="B69" s="58">
        <f>('[1]S&amp;P 500 &amp; Raw Data'!B61-'[1]S&amp;P 500 &amp; Raw Data'!B60+'[1]S&amp;P 500 &amp; Raw Data'!C61)/'[1]S&amp;P 500 &amp; Raw Data'!B60</f>
        <v>0.31235149485768948</v>
      </c>
      <c r="C69" s="58">
        <f>'[1]T. Bill rates'!G64</f>
        <v>7.4874999999999997E-2</v>
      </c>
      <c r="D69" s="58">
        <f>'[1]S&amp;P 500 &amp; Raw Data'!F61</f>
        <v>0.2571248821260641</v>
      </c>
      <c r="E69" s="59">
        <f t="shared" si="6"/>
        <v>15516.602025374559</v>
      </c>
      <c r="F69" s="59">
        <f t="shared" si="6"/>
        <v>727.25562037676571</v>
      </c>
      <c r="G69" s="59">
        <f t="shared" si="6"/>
        <v>950.2907905396761</v>
      </c>
      <c r="H69" s="60">
        <f t="shared" si="1"/>
        <v>0.23747649485768949</v>
      </c>
      <c r="I69" s="61">
        <f t="shared" si="2"/>
        <v>5.522661273162538E-2</v>
      </c>
      <c r="J69" s="60">
        <f t="shared" si="5"/>
        <v>5.1284365102581608E-2</v>
      </c>
    </row>
    <row r="70" spans="1:10">
      <c r="A70" s="57">
        <v>1986</v>
      </c>
      <c r="B70" s="58">
        <f>('[1]S&amp;P 500 &amp; Raw Data'!B62-'[1]S&amp;P 500 &amp; Raw Data'!B61+'[1]S&amp;P 500 &amp; Raw Data'!C62)/'[1]S&amp;P 500 &amp; Raw Data'!B61</f>
        <v>0.18494578758046187</v>
      </c>
      <c r="C70" s="58">
        <f>'[1]T. Bill rates'!G65</f>
        <v>6.0350000000000001E-2</v>
      </c>
      <c r="D70" s="58">
        <f>'[1]S&amp;P 500 &amp; Raw Data'!F62</f>
        <v>0.24284215141767618</v>
      </c>
      <c r="E70" s="59">
        <f t="shared" si="6"/>
        <v>18386.332207530046</v>
      </c>
      <c r="F70" s="59">
        <f t="shared" si="6"/>
        <v>771.14549706650348</v>
      </c>
      <c r="G70" s="59">
        <f t="shared" si="6"/>
        <v>1181.0614505867354</v>
      </c>
      <c r="H70" s="60">
        <f t="shared" si="1"/>
        <v>0.12459578758046187</v>
      </c>
      <c r="I70" s="61">
        <f t="shared" si="2"/>
        <v>-5.7896363837214304E-2</v>
      </c>
      <c r="J70" s="60">
        <f t="shared" si="5"/>
        <v>4.9663565599739057E-2</v>
      </c>
    </row>
    <row r="71" spans="1:10">
      <c r="A71" s="57">
        <v>1987</v>
      </c>
      <c r="B71" s="58">
        <f>('[1]S&amp;P 500 &amp; Raw Data'!B63-'[1]S&amp;P 500 &amp; Raw Data'!B62+'[1]S&amp;P 500 &amp; Raw Data'!C63)/'[1]S&amp;P 500 &amp; Raw Data'!B62</f>
        <v>5.8127216418218712E-2</v>
      </c>
      <c r="C71" s="58">
        <f>'[1]T. Bill rates'!G66</f>
        <v>5.7224999999999998E-2</v>
      </c>
      <c r="D71" s="58">
        <f>'[1]S&amp;P 500 &amp; Raw Data'!F63</f>
        <v>-4.9605089379262279E-2</v>
      </c>
      <c r="E71" s="59">
        <f t="shared" si="6"/>
        <v>19455.07851889441</v>
      </c>
      <c r="F71" s="59">
        <f t="shared" si="6"/>
        <v>815.27429813613423</v>
      </c>
      <c r="G71" s="59">
        <f t="shared" si="6"/>
        <v>1122.4747917679792</v>
      </c>
      <c r="H71" s="60">
        <f t="shared" si="1"/>
        <v>9.0221641821871396E-4</v>
      </c>
      <c r="I71" s="61">
        <f t="shared" si="2"/>
        <v>0.107732305797481</v>
      </c>
      <c r="J71" s="60">
        <f t="shared" si="5"/>
        <v>5.0693590437507208E-2</v>
      </c>
    </row>
    <row r="72" spans="1:10">
      <c r="A72" s="57">
        <v>1988</v>
      </c>
      <c r="B72" s="58">
        <f>('[1]S&amp;P 500 &amp; Raw Data'!B64-'[1]S&amp;P 500 &amp; Raw Data'!B63+'[1]S&amp;P 500 &amp; Raw Data'!C64)/'[1]S&amp;P 500 &amp; Raw Data'!B63</f>
        <v>0.16537192812044688</v>
      </c>
      <c r="C72" s="58">
        <f>'[1]T. Bill rates'!G67</f>
        <v>6.4499999999999988E-2</v>
      </c>
      <c r="D72" s="58">
        <f>'[1]S&amp;P 500 &amp; Raw Data'!F64</f>
        <v>8.2235958434841674E-2</v>
      </c>
      <c r="E72" s="59">
        <f t="shared" si="6"/>
        <v>22672.402365298665</v>
      </c>
      <c r="F72" s="59">
        <f t="shared" si="6"/>
        <v>867.85949036591489</v>
      </c>
      <c r="G72" s="59">
        <f t="shared" si="6"/>
        <v>1214.7825820879684</v>
      </c>
      <c r="H72" s="60">
        <f t="shared" si="1"/>
        <v>0.10087192812044689</v>
      </c>
      <c r="I72" s="61">
        <f t="shared" si="2"/>
        <v>8.3135969685605202E-2</v>
      </c>
      <c r="J72" s="60">
        <f t="shared" si="5"/>
        <v>5.1199933578993884E-2</v>
      </c>
    </row>
    <row r="73" spans="1:10">
      <c r="A73" s="57">
        <v>1989</v>
      </c>
      <c r="B73" s="58">
        <f>('[1]S&amp;P 500 &amp; Raw Data'!B65-'[1]S&amp;P 500 &amp; Raw Data'!B64+'[1]S&amp;P 500 &amp; Raw Data'!C65)/'[1]S&amp;P 500 &amp; Raw Data'!B64</f>
        <v>0.31475183638196724</v>
      </c>
      <c r="C73" s="58">
        <f>'[1]T. Bill rates'!G68</f>
        <v>8.1099999999999992E-2</v>
      </c>
      <c r="D73" s="58">
        <f>'[1]S&amp;P 500 &amp; Raw Data'!F65</f>
        <v>0.17693647159446219</v>
      </c>
      <c r="E73" s="59">
        <f t="shared" si="6"/>
        <v>29808.582644967279</v>
      </c>
      <c r="F73" s="59">
        <f t="shared" si="6"/>
        <v>938.24289503459056</v>
      </c>
      <c r="G73" s="59">
        <f t="shared" si="6"/>
        <v>1429.7219259170236</v>
      </c>
      <c r="H73" s="60">
        <f t="shared" si="1"/>
        <v>0.23365183638196724</v>
      </c>
      <c r="I73" s="61">
        <f t="shared" si="2"/>
        <v>0.13781536478750506</v>
      </c>
      <c r="J73" s="60">
        <f t="shared" si="5"/>
        <v>5.240982169336883E-2</v>
      </c>
    </row>
    <row r="74" spans="1:10">
      <c r="A74" s="57">
        <v>1990</v>
      </c>
      <c r="B74" s="58">
        <f>('[1]S&amp;P 500 &amp; Raw Data'!B66-'[1]S&amp;P 500 &amp; Raw Data'!B65+'[1]S&amp;P 500 &amp; Raw Data'!C66)/'[1]S&amp;P 500 &amp; Raw Data'!B65</f>
        <v>-3.0644516129032118E-2</v>
      </c>
      <c r="C74" s="58">
        <f>'[1]T. Bill rates'!G69</f>
        <v>7.5500000000000012E-2</v>
      </c>
      <c r="D74" s="58">
        <f>'[1]S&amp;P 500 &amp; Raw Data'!F66</f>
        <v>6.2353753335533363E-2</v>
      </c>
      <c r="E74" s="59">
        <f t="shared" si="6"/>
        <v>28895.113053319994</v>
      </c>
      <c r="F74" s="59">
        <f t="shared" si="6"/>
        <v>1009.0802336097021</v>
      </c>
      <c r="G74" s="59">
        <f t="shared" si="6"/>
        <v>1518.8704542240573</v>
      </c>
      <c r="H74" s="60">
        <f t="shared" si="1"/>
        <v>-0.10614451612903213</v>
      </c>
      <c r="I74" s="61">
        <f t="shared" si="2"/>
        <v>-9.2998269464565478E-2</v>
      </c>
      <c r="J74" s="60">
        <f t="shared" si="5"/>
        <v>4.9979953137364364E-2</v>
      </c>
    </row>
    <row r="75" spans="1:10">
      <c r="A75" s="57">
        <v>1991</v>
      </c>
      <c r="B75" s="58">
        <f>('[1]S&amp;P 500 &amp; Raw Data'!B67-'[1]S&amp;P 500 &amp; Raw Data'!B66+'[1]S&amp;P 500 &amp; Raw Data'!C67)/'[1]S&amp;P 500 &amp; Raw Data'!B66</f>
        <v>0.30234843134879757</v>
      </c>
      <c r="C75" s="58">
        <f>'[1]T. Bill rates'!G70</f>
        <v>5.6100000000000011E-2</v>
      </c>
      <c r="D75" s="58">
        <f>'[1]S&amp;P 500 &amp; Raw Data'!F67</f>
        <v>0.15004510019517303</v>
      </c>
      <c r="E75" s="59">
        <f t="shared" si="6"/>
        <v>37631.505158637461</v>
      </c>
      <c r="F75" s="59">
        <f t="shared" si="6"/>
        <v>1065.6896347152065</v>
      </c>
      <c r="G75" s="59">
        <f t="shared" si="6"/>
        <v>1746.769523711594</v>
      </c>
      <c r="H75" s="60">
        <f t="shared" si="1"/>
        <v>0.24624843134879756</v>
      </c>
      <c r="I75" s="61">
        <f t="shared" si="2"/>
        <v>0.15230333115362454</v>
      </c>
      <c r="J75" s="60">
        <f t="shared" si="5"/>
        <v>5.13850639844049E-2</v>
      </c>
    </row>
    <row r="76" spans="1:10">
      <c r="A76" s="57">
        <v>1992</v>
      </c>
      <c r="B76" s="58">
        <f>('[1]S&amp;P 500 &amp; Raw Data'!B68-'[1]S&amp;P 500 &amp; Raw Data'!B67+'[1]S&amp;P 500 &amp; Raw Data'!C68)/'[1]S&amp;P 500 &amp; Raw Data'!B67</f>
        <v>7.493727972380064E-2</v>
      </c>
      <c r="C76" s="58">
        <f>'[1]T. Bill rates'!G71</f>
        <v>3.4049999999999997E-2</v>
      </c>
      <c r="D76" s="58">
        <f>'[1]S&amp;P 500 &amp; Raw Data'!F68</f>
        <v>9.3616373162079422E-2</v>
      </c>
      <c r="E76" s="59">
        <f t="shared" si="6"/>
        <v>40451.507787137925</v>
      </c>
      <c r="F76" s="59">
        <f t="shared" si="6"/>
        <v>1101.976366777259</v>
      </c>
      <c r="G76" s="59">
        <f t="shared" si="6"/>
        <v>1910.2957512715263</v>
      </c>
      <c r="H76" s="60">
        <f t="shared" si="1"/>
        <v>4.0887279723800643E-2</v>
      </c>
      <c r="I76" s="61">
        <f t="shared" si="2"/>
        <v>-1.8679093438278782E-2</v>
      </c>
      <c r="J76" s="60">
        <f t="shared" si="5"/>
        <v>5.0319857010869606E-2</v>
      </c>
    </row>
    <row r="77" spans="1:10">
      <c r="A77" s="57">
        <v>1993</v>
      </c>
      <c r="B77" s="58">
        <f>('[1]S&amp;P 500 &amp; Raw Data'!B69-'[1]S&amp;P 500 &amp; Raw Data'!B68+'[1]S&amp;P 500 &amp; Raw Data'!C69)/'[1]S&amp;P 500 &amp; Raw Data'!B68</f>
        <v>9.96705147919488E-2</v>
      </c>
      <c r="C77" s="58">
        <f>'[1]T. Bill rates'!G72</f>
        <v>2.9825000000000001E-2</v>
      </c>
      <c r="D77" s="58">
        <f>'[1]S&amp;P 500 &amp; Raw Data'!F69</f>
        <v>0.14210957589263107</v>
      </c>
      <c r="E77" s="59">
        <f t="shared" ref="E77:G92" si="7">E76*(1+B77)</f>
        <v>44483.33039239249</v>
      </c>
      <c r="F77" s="59">
        <f t="shared" si="7"/>
        <v>1134.8428119163907</v>
      </c>
      <c r="G77" s="59">
        <f t="shared" si="7"/>
        <v>2181.7670703142176</v>
      </c>
      <c r="H77" s="60">
        <f t="shared" ref="H77:H92" si="8">B77-C77</f>
        <v>6.9845514791948796E-2</v>
      </c>
      <c r="I77" s="61">
        <f t="shared" ref="I77:I92" si="9">B77-D77</f>
        <v>-4.2439061100682268E-2</v>
      </c>
      <c r="J77" s="60">
        <f t="shared" si="5"/>
        <v>4.8975937931758473E-2</v>
      </c>
    </row>
    <row r="78" spans="1:10">
      <c r="A78" s="57">
        <v>1994</v>
      </c>
      <c r="B78" s="58">
        <f>('[1]S&amp;P 500 &amp; Raw Data'!B70-'[1]S&amp;P 500 &amp; Raw Data'!B69+'[1]S&amp;P 500 &amp; Raw Data'!C70)/'[1]S&amp;P 500 &amp; Raw Data'!B69</f>
        <v>1.3259206774573897E-2</v>
      </c>
      <c r="C78" s="58">
        <f>'[1]T. Bill rates'!G73</f>
        <v>3.9850000000000003E-2</v>
      </c>
      <c r="D78" s="58">
        <f>'[1]S&amp;P 500 &amp; Raw Data'!F70</f>
        <v>-8.0366555509985921E-2</v>
      </c>
      <c r="E78" s="59">
        <f t="shared" si="7"/>
        <v>45073.144068086905</v>
      </c>
      <c r="F78" s="59">
        <f t="shared" si="7"/>
        <v>1180.0662979712588</v>
      </c>
      <c r="G78" s="59">
        <f t="shared" si="7"/>
        <v>2006.4259659479505</v>
      </c>
      <c r="H78" s="60">
        <f t="shared" si="8"/>
        <v>-2.6590793225426106E-2</v>
      </c>
      <c r="I78" s="61">
        <f t="shared" si="9"/>
        <v>9.3625762284559821E-2</v>
      </c>
      <c r="J78" s="60">
        <f t="shared" si="5"/>
        <v>4.9718636171719899E-2</v>
      </c>
    </row>
    <row r="79" spans="1:10">
      <c r="A79" s="57">
        <v>1995</v>
      </c>
      <c r="B79" s="58">
        <f>('[1]S&amp;P 500 &amp; Raw Data'!B71-'[1]S&amp;P 500 &amp; Raw Data'!B70+'[1]S&amp;P 500 &amp; Raw Data'!C71)/'[1]S&amp;P 500 &amp; Raw Data'!B70</f>
        <v>0.37195198902606308</v>
      </c>
      <c r="C79" s="58">
        <f>'[1]T. Bill rates'!G74</f>
        <v>5.5150000000000005E-2</v>
      </c>
      <c r="D79" s="58">
        <f>'[1]S&amp;P 500 &amp; Raw Data'!F71</f>
        <v>0.23480780112538907</v>
      </c>
      <c r="E79" s="59">
        <f t="shared" si="7"/>
        <v>61838.189655870119</v>
      </c>
      <c r="F79" s="59">
        <f t="shared" si="7"/>
        <v>1245.1469543043738</v>
      </c>
      <c r="G79" s="59">
        <f t="shared" si="7"/>
        <v>2477.5504351330737</v>
      </c>
      <c r="H79" s="60">
        <f t="shared" si="8"/>
        <v>0.31680198902606305</v>
      </c>
      <c r="I79" s="61">
        <f t="shared" si="9"/>
        <v>0.13714418790067401</v>
      </c>
      <c r="J79" s="60">
        <f t="shared" si="5"/>
        <v>5.0791451119413633E-2</v>
      </c>
    </row>
    <row r="80" spans="1:10">
      <c r="A80" s="57">
        <v>1996</v>
      </c>
      <c r="B80" s="58">
        <f>('[1]S&amp;P 500 &amp; Raw Data'!B72-'[1]S&amp;P 500 &amp; Raw Data'!B71+'[1]S&amp;P 500 &amp; Raw Data'!C72)/'[1]S&amp;P 500 &amp; Raw Data'!B71</f>
        <v>0.23817458802136615</v>
      </c>
      <c r="C80" s="58">
        <f>'[1]T. Bill rates'!G75</f>
        <v>5.0224999999999999E-2</v>
      </c>
      <c r="D80" s="58">
        <f>'[1]S&amp;P 500 &amp; Raw Data'!F72</f>
        <v>1.428607793401844E-2</v>
      </c>
      <c r="E80" s="59">
        <f t="shared" si="7"/>
        <v>76566.475001144092</v>
      </c>
      <c r="F80" s="59">
        <f t="shared" si="7"/>
        <v>1307.684460084311</v>
      </c>
      <c r="G80" s="59">
        <f t="shared" si="7"/>
        <v>2512.9449137348461</v>
      </c>
      <c r="H80" s="60">
        <f t="shared" si="8"/>
        <v>0.18794958802136616</v>
      </c>
      <c r="I80" s="61">
        <f t="shared" si="9"/>
        <v>0.22388851008734773</v>
      </c>
      <c r="J80" s="60">
        <f t="shared" si="5"/>
        <v>5.3192171006612776E-2</v>
      </c>
    </row>
    <row r="81" spans="1:10">
      <c r="A81" s="57">
        <v>1997</v>
      </c>
      <c r="B81" s="58">
        <f>('[1]S&amp;P 500 &amp; Raw Data'!B73-'[1]S&amp;P 500 &amp; Raw Data'!B72+'[1]S&amp;P 500 &amp; Raw Data'!C73)/'[1]S&amp;P 500 &amp; Raw Data'!B72</f>
        <v>0.31857597560649414</v>
      </c>
      <c r="C81" s="58">
        <f>'[1]T. Bill rates'!G76</f>
        <v>5.0525E-2</v>
      </c>
      <c r="D81" s="58">
        <f>'[1]S&amp;P 500 &amp; Raw Data'!F73</f>
        <v>9.939130272977531E-2</v>
      </c>
      <c r="E81" s="59">
        <f t="shared" si="7"/>
        <v>100958.71447338381</v>
      </c>
      <c r="F81" s="59">
        <f t="shared" si="7"/>
        <v>1373.7552174300708</v>
      </c>
      <c r="G81" s="59">
        <f t="shared" si="7"/>
        <v>2762.7097823991153</v>
      </c>
      <c r="H81" s="60">
        <f t="shared" si="8"/>
        <v>0.26805097560649416</v>
      </c>
      <c r="I81" s="61">
        <f t="shared" si="9"/>
        <v>0.21918467287671883</v>
      </c>
      <c r="J81" s="60">
        <f t="shared" si="5"/>
        <v>5.5312675796496347E-2</v>
      </c>
    </row>
    <row r="82" spans="1:10">
      <c r="A82" s="57">
        <v>1998</v>
      </c>
      <c r="B82" s="58">
        <f>('[1]S&amp;P 500 &amp; Raw Data'!B74-'[1]S&amp;P 500 &amp; Raw Data'!B73+'[1]S&amp;P 500 &amp; Raw Data'!C74)/'[1]S&amp;P 500 &amp; Raw Data'!B73</f>
        <v>0.28337953278443584</v>
      </c>
      <c r="C82" s="58">
        <f>'[1]T. Bill rates'!G77</f>
        <v>4.7274999999999998E-2</v>
      </c>
      <c r="D82" s="58">
        <f>'[1]S&amp;P 500 &amp; Raw Data'!F74</f>
        <v>0.14921431922606215</v>
      </c>
      <c r="E82" s="59">
        <f t="shared" si="7"/>
        <v>129568.34781136856</v>
      </c>
      <c r="F82" s="59">
        <f t="shared" si="7"/>
        <v>1438.6994953340775</v>
      </c>
      <c r="G82" s="59">
        <f t="shared" si="7"/>
        <v>3174.9456417989818</v>
      </c>
      <c r="H82" s="60">
        <f t="shared" si="8"/>
        <v>0.23610453278443583</v>
      </c>
      <c r="I82" s="61">
        <f t="shared" si="9"/>
        <v>0.13416521355837369</v>
      </c>
      <c r="J82" s="60">
        <f t="shared" si="5"/>
        <v>5.6303173908827553E-2</v>
      </c>
    </row>
    <row r="83" spans="1:10">
      <c r="A83" s="57">
        <v>1999</v>
      </c>
      <c r="B83" s="58">
        <f>('[1]S&amp;P 500 &amp; Raw Data'!B75-'[1]S&amp;P 500 &amp; Raw Data'!B74+'[1]S&amp;P 500 &amp; Raw Data'!C75)/'[1]S&amp;P 500 &amp; Raw Data'!B74</f>
        <v>0.20885350992084475</v>
      </c>
      <c r="C83" s="58">
        <f>'[1]T. Bill rates'!G78</f>
        <v>4.5100000000000001E-2</v>
      </c>
      <c r="D83" s="58">
        <f>'[1]S&amp;P 500 &amp; Raw Data'!F75</f>
        <v>-8.2542147962685761E-2</v>
      </c>
      <c r="E83" s="59">
        <f t="shared" si="7"/>
        <v>156629.15202641769</v>
      </c>
      <c r="F83" s="59">
        <f t="shared" si="7"/>
        <v>1503.5848425736442</v>
      </c>
      <c r="G83" s="59">
        <f t="shared" si="7"/>
        <v>2912.8788088601259</v>
      </c>
      <c r="H83" s="60">
        <f t="shared" si="8"/>
        <v>0.16375350992084475</v>
      </c>
      <c r="I83" s="61">
        <f t="shared" si="9"/>
        <v>0.2913956578835305</v>
      </c>
      <c r="J83" s="60">
        <f t="shared" si="5"/>
        <v>5.9631857016358536E-2</v>
      </c>
    </row>
    <row r="84" spans="1:10">
      <c r="A84" s="57">
        <v>2000</v>
      </c>
      <c r="B84" s="58">
        <f>('[1]S&amp;P 500 &amp; Raw Data'!B76-'[1]S&amp;P 500 &amp; Raw Data'!B75+'[1]S&amp;P 500 &amp; Raw Data'!C76)/'[1]S&amp;P 500 &amp; Raw Data'!B75</f>
        <v>-9.0318189552492781E-2</v>
      </c>
      <c r="C84" s="58">
        <f>'[1]T. Bill rates'!G79</f>
        <v>5.7625000000000003E-2</v>
      </c>
      <c r="D84" s="58">
        <f>'[1]S&amp;P 500 &amp; Raw Data'!F76</f>
        <v>0.16655267125397488</v>
      </c>
      <c r="E84" s="59">
        <f t="shared" si="7"/>
        <v>142482.69058424947</v>
      </c>
      <c r="F84" s="59">
        <f t="shared" si="7"/>
        <v>1590.2289191269506</v>
      </c>
      <c r="G84" s="59">
        <f t="shared" si="7"/>
        <v>3398.0265555148762</v>
      </c>
      <c r="H84" s="60">
        <f t="shared" si="8"/>
        <v>-0.14794318955249278</v>
      </c>
      <c r="I84" s="61">
        <f t="shared" si="9"/>
        <v>-0.25687086080646765</v>
      </c>
      <c r="J84" s="60">
        <f t="shared" si="5"/>
        <v>5.5109104451733337E-2</v>
      </c>
    </row>
    <row r="85" spans="1:10">
      <c r="A85" s="57">
        <v>2001</v>
      </c>
      <c r="B85" s="58">
        <f>('[1]S&amp;P 500 &amp; Raw Data'!B77-'[1]S&amp;P 500 &amp; Raw Data'!B76+'[1]S&amp;P 500 &amp; Raw Data'!C77)/'[1]S&amp;P 500 &amp; Raw Data'!B76</f>
        <v>-0.11849759142000185</v>
      </c>
      <c r="C85" s="58">
        <f>'[1]T. Bill rates'!G80</f>
        <v>3.6725000000000001E-2</v>
      </c>
      <c r="D85" s="58">
        <f>'[1]S&amp;P 500 &amp; Raw Data'!F77</f>
        <v>5.5721811892492555E-2</v>
      </c>
      <c r="E85" s="59">
        <f t="shared" si="7"/>
        <v>125598.83493097454</v>
      </c>
      <c r="F85" s="59">
        <f t="shared" si="7"/>
        <v>1648.6300761818877</v>
      </c>
      <c r="G85" s="59">
        <f t="shared" si="7"/>
        <v>3587.3707520469702</v>
      </c>
      <c r="H85" s="60">
        <f t="shared" si="8"/>
        <v>-0.15522259142000186</v>
      </c>
      <c r="I85" s="61">
        <f t="shared" si="9"/>
        <v>-0.17421940331249441</v>
      </c>
      <c r="J85" s="60">
        <f t="shared" si="5"/>
        <v>5.1662600225616639E-2</v>
      </c>
    </row>
    <row r="86" spans="1:10">
      <c r="A86" s="62">
        <v>2002</v>
      </c>
      <c r="B86" s="58">
        <f>('[1]S&amp;P 500 &amp; Raw Data'!B78-'[1]S&amp;P 500 &amp; Raw Data'!B77+'[1]S&amp;P 500 &amp; Raw Data'!C78)/'[1]S&amp;P 500 &amp; Raw Data'!B77</f>
        <v>-0.21966047957912699</v>
      </c>
      <c r="C86" s="58">
        <f>'[1]T. Bill rates'!G81</f>
        <v>1.6574999999999999E-2</v>
      </c>
      <c r="D86" s="58">
        <f>'[1]S&amp;P 500 &amp; Raw Data'!F78</f>
        <v>0.15116400378109285</v>
      </c>
      <c r="E86" s="59">
        <f t="shared" si="7"/>
        <v>98009.734615457055</v>
      </c>
      <c r="F86" s="59">
        <f t="shared" si="7"/>
        <v>1675.9561196946024</v>
      </c>
      <c r="G86" s="59">
        <f t="shared" si="7"/>
        <v>4129.6520779735802</v>
      </c>
      <c r="H86" s="60">
        <f t="shared" si="8"/>
        <v>-0.23623547957912699</v>
      </c>
      <c r="I86" s="61">
        <f t="shared" si="9"/>
        <v>-0.37082448336021984</v>
      </c>
      <c r="J86" s="60">
        <f t="shared" si="5"/>
        <v>4.5322753501771729E-2</v>
      </c>
    </row>
    <row r="87" spans="1:10">
      <c r="A87" s="62">
        <v>2003</v>
      </c>
      <c r="B87" s="58">
        <f>('[1]S&amp;P 500 &amp; Raw Data'!B79-'[1]S&amp;P 500 &amp; Raw Data'!B78+'[1]S&amp;P 500 &amp; Raw Data'!C79)/'[1]S&amp;P 500 &amp; Raw Data'!B78</f>
        <v>0.28355800050010233</v>
      </c>
      <c r="C87" s="58">
        <f>'[1]T. Bill rates'!G82</f>
        <v>1.03E-2</v>
      </c>
      <c r="D87" s="58">
        <f>'[1]S&amp;P 500 &amp; Raw Data'!F79</f>
        <v>3.7531858817758529E-3</v>
      </c>
      <c r="E87" s="59">
        <f t="shared" si="7"/>
        <v>125801.17899256173</v>
      </c>
      <c r="F87" s="59">
        <f t="shared" si="7"/>
        <v>1693.2184677274568</v>
      </c>
      <c r="G87" s="59">
        <f t="shared" si="7"/>
        <v>4145.1514298492766</v>
      </c>
      <c r="H87" s="60">
        <f t="shared" si="8"/>
        <v>0.27325800050010235</v>
      </c>
      <c r="I87" s="61">
        <f t="shared" si="9"/>
        <v>0.27980481461832646</v>
      </c>
      <c r="J87" s="60">
        <f t="shared" si="5"/>
        <v>4.8235129792344456E-2</v>
      </c>
    </row>
    <row r="88" spans="1:10">
      <c r="A88" s="62">
        <v>2004</v>
      </c>
      <c r="B88" s="58">
        <f>('[1]S&amp;P 500 &amp; Raw Data'!B80-'[1]S&amp;P 500 &amp; Raw Data'!B79+'[1]S&amp;P 500 &amp; Raw Data'!C80)/'[1]S&amp;P 500 &amp; Raw Data'!B79</f>
        <v>0.10742775944096193</v>
      </c>
      <c r="C88" s="58">
        <f>'[1]T. Bill rates'!G83</f>
        <v>1.2275000000000001E-2</v>
      </c>
      <c r="D88" s="58">
        <f>'[1]S&amp;P 500 &amp; Raw Data'!F80</f>
        <v>4.490683702274547E-2</v>
      </c>
      <c r="E88" s="59">
        <f t="shared" si="7"/>
        <v>139315.71778676403</v>
      </c>
      <c r="F88" s="59">
        <f t="shared" si="7"/>
        <v>1714.0027244188113</v>
      </c>
      <c r="G88" s="59">
        <f t="shared" si="7"/>
        <v>4331.2970695441181</v>
      </c>
      <c r="H88" s="60">
        <f t="shared" si="8"/>
        <v>9.5152759440961937E-2</v>
      </c>
      <c r="I88" s="61">
        <f t="shared" si="9"/>
        <v>6.2520922418216468E-2</v>
      </c>
      <c r="J88" s="60">
        <f t="shared" si="5"/>
        <v>4.8420366493855838E-2</v>
      </c>
    </row>
    <row r="89" spans="1:10">
      <c r="A89" s="62">
        <v>2005</v>
      </c>
      <c r="B89" s="58">
        <f>('[1]S&amp;P 500 &amp; Raw Data'!B81-'[1]S&amp;P 500 &amp; Raw Data'!B80+'[1]S&amp;P 500 &amp; Raw Data'!C81)/'[1]S&amp;P 500 &amp; Raw Data'!B80</f>
        <v>4.8344775232688535E-2</v>
      </c>
      <c r="C89" s="58">
        <f>'[1]T. Bill rates'!G84</f>
        <v>3.0099999999999998E-2</v>
      </c>
      <c r="D89" s="58">
        <f>'[1]S&amp;P 500 &amp; Raw Data'!F81</f>
        <v>2.8675329597779506E-2</v>
      </c>
      <c r="E89" s="59">
        <f t="shared" si="7"/>
        <v>146050.9048495458</v>
      </c>
      <c r="F89" s="59">
        <f t="shared" si="7"/>
        <v>1765.5942064238177</v>
      </c>
      <c r="G89" s="59">
        <f t="shared" si="7"/>
        <v>4455.4984405991927</v>
      </c>
      <c r="H89" s="60">
        <f t="shared" si="8"/>
        <v>1.8244775232688536E-2</v>
      </c>
      <c r="I89" s="61">
        <f t="shared" si="9"/>
        <v>1.9669445634909029E-2</v>
      </c>
      <c r="J89" s="60">
        <f t="shared" si="5"/>
        <v>4.8039592729194558E-2</v>
      </c>
    </row>
    <row r="90" spans="1:10">
      <c r="A90" s="62">
        <v>2006</v>
      </c>
      <c r="B90" s="58">
        <f>('[1]S&amp;P 500 &amp; Raw Data'!B82-'[1]S&amp;P 500 &amp; Raw Data'!B81+'[1]S&amp;P 500 &amp; Raw Data'!C82)/'[1]S&amp;P 500 &amp; Raw Data'!B81</f>
        <v>0.15612557979315703</v>
      </c>
      <c r="C90" s="58">
        <f>'[1]T. Bill rates'!G85</f>
        <v>4.6775000000000004E-2</v>
      </c>
      <c r="D90" s="58">
        <f>'[1]S&amp;P 500 &amp; Raw Data'!F82</f>
        <v>1.9610012417568386E-2</v>
      </c>
      <c r="E90" s="59">
        <f t="shared" si="7"/>
        <v>168853.18704849636</v>
      </c>
      <c r="F90" s="59">
        <f t="shared" si="7"/>
        <v>1848.1798754292918</v>
      </c>
      <c r="G90" s="59">
        <f t="shared" si="7"/>
        <v>4542.8708203458</v>
      </c>
      <c r="H90" s="60">
        <f t="shared" si="8"/>
        <v>0.10935057979315702</v>
      </c>
      <c r="I90" s="61">
        <f t="shared" si="9"/>
        <v>0.13651556737558865</v>
      </c>
      <c r="J90" s="60">
        <f t="shared" si="5"/>
        <v>4.9146470524072061E-2</v>
      </c>
    </row>
    <row r="91" spans="1:10">
      <c r="A91" s="62">
        <v>2007</v>
      </c>
      <c r="B91" s="58">
        <f>('[1]S&amp;P 500 &amp; Raw Data'!B83-'[1]S&amp;P 500 &amp; Raw Data'!B82+'[1]S&amp;P 500 &amp; Raw Data'!C83)/'[1]S&amp;P 500 &amp; Raw Data'!B82</f>
        <v>5.4847352464217694E-2</v>
      </c>
      <c r="C91" s="58">
        <f>'[1]T. Bill rates'!G86</f>
        <v>4.6425000000000001E-2</v>
      </c>
      <c r="D91" s="58">
        <f>'[1]S&amp;P 500 &amp; Raw Data'!F83</f>
        <v>0.10209921930012807</v>
      </c>
      <c r="E91" s="59">
        <f t="shared" si="7"/>
        <v>178114.33731325172</v>
      </c>
      <c r="F91" s="59">
        <f t="shared" si="7"/>
        <v>1933.9816261460965</v>
      </c>
      <c r="G91" s="59">
        <f t="shared" si="7"/>
        <v>5006.6943844844382</v>
      </c>
      <c r="H91" s="60">
        <f t="shared" si="8"/>
        <v>8.4223524642176931E-3</v>
      </c>
      <c r="I91" s="61">
        <f t="shared" si="9"/>
        <v>-4.7251866835910372E-2</v>
      </c>
      <c r="J91" s="60">
        <f t="shared" si="5"/>
        <v>4.7946180113691783E-2</v>
      </c>
    </row>
    <row r="92" spans="1:10">
      <c r="A92" s="62">
        <v>2008</v>
      </c>
      <c r="B92" s="58">
        <f>('[1]S&amp;P 500 &amp; Raw Data'!B84-'[1]S&amp;P 500 &amp; Raw Data'!B83+'[1]S&amp;P 500 &amp; Raw Data'!C84)/'[1]S&amp;P 500 &amp; Raw Data'!B83</f>
        <v>-0.36575499196382355</v>
      </c>
      <c r="C92" s="58">
        <f>'[1]T. Bill rates'!G87</f>
        <v>1.585E-2</v>
      </c>
      <c r="D92" s="58">
        <f>'[1]S&amp;P 500 &amp; Raw Data'!F84</f>
        <v>0.20101279926977011</v>
      </c>
      <c r="E92" s="59">
        <f t="shared" si="7"/>
        <v>112968.12930060158</v>
      </c>
      <c r="F92" s="59">
        <f t="shared" si="7"/>
        <v>1964.6352349205119</v>
      </c>
      <c r="G92" s="59">
        <f t="shared" si="7"/>
        <v>6013.1040377978934</v>
      </c>
      <c r="H92" s="60">
        <f t="shared" si="8"/>
        <v>-0.38160499196382353</v>
      </c>
      <c r="I92" s="61">
        <f t="shared" si="9"/>
        <v>-0.56676779123359367</v>
      </c>
      <c r="J92" s="60">
        <f t="shared" si="5"/>
        <v>3.878846995908769E-2</v>
      </c>
    </row>
    <row r="93" spans="1:10">
      <c r="A93" s="62">
        <v>2009</v>
      </c>
      <c r="B93" s="58">
        <f>('[1]S&amp;P 500 &amp; Raw Data'!B85-'[1]S&amp;P 500 &amp; Raw Data'!B84+'[1]S&amp;P 500 &amp; Raw Data'!C85)/'[1]S&amp;P 500 &amp; Raw Data'!B84</f>
        <v>0.25924162745640733</v>
      </c>
      <c r="C93" s="58">
        <f>'[1]T. Bill rates'!G88</f>
        <v>1.3500000000000001E-3</v>
      </c>
      <c r="D93" s="58">
        <f>'[1]S&amp;P 500 &amp; Raw Data'!F85</f>
        <v>-0.11116695313259162</v>
      </c>
      <c r="E93" s="59">
        <f>E92*(1+B93)</f>
        <v>142254.17099119539</v>
      </c>
      <c r="F93" s="59">
        <f>F92*(1+C93)</f>
        <v>1967.2874924876546</v>
      </c>
      <c r="G93" s="59">
        <f t="shared" ref="G93" si="10">G92*(1+D93)</f>
        <v>5344.6455830466175</v>
      </c>
      <c r="H93" s="60">
        <f>B93-C93</f>
        <v>0.25789162745640731</v>
      </c>
      <c r="I93" s="61">
        <f>B93-D93</f>
        <v>0.37040858058899895</v>
      </c>
      <c r="J93" s="60">
        <f t="shared" si="5"/>
        <v>4.2860013233459338E-2</v>
      </c>
    </row>
    <row r="94" spans="1:10" ht="16.2">
      <c r="F94" s="285" t="s">
        <v>162</v>
      </c>
      <c r="G94" s="286"/>
      <c r="H94" s="287" t="s">
        <v>163</v>
      </c>
      <c r="I94" s="287"/>
    </row>
    <row r="95" spans="1:10">
      <c r="A95" s="63" t="s">
        <v>164</v>
      </c>
      <c r="B95" s="64"/>
      <c r="C95" s="64"/>
      <c r="D95" s="64"/>
      <c r="F95" s="56" t="s">
        <v>165</v>
      </c>
      <c r="G95" s="56" t="s">
        <v>166</v>
      </c>
      <c r="H95" s="56" t="s">
        <v>165</v>
      </c>
      <c r="I95" s="56" t="s">
        <v>166</v>
      </c>
    </row>
    <row r="96" spans="1:10">
      <c r="A96" s="57" t="s">
        <v>167</v>
      </c>
      <c r="B96" s="58">
        <f>AVERAGE(B12:B93)</f>
        <v>0.11271618150364188</v>
      </c>
      <c r="C96" s="58">
        <f>AVERAGE(C12:C93)</f>
        <v>3.7429573170731707E-2</v>
      </c>
      <c r="D96" s="58">
        <f>AVERAGE(D12:D93)</f>
        <v>5.2433962546702358E-2</v>
      </c>
      <c r="F96" s="65">
        <f>B96-C96</f>
        <v>7.5286608332910177E-2</v>
      </c>
      <c r="G96" s="65">
        <f>B96-D96</f>
        <v>6.0282218956939519E-2</v>
      </c>
      <c r="H96" s="65">
        <f>STDEV(H12:H93)/(($A$93-$A$12+1)^0.5)</f>
        <v>2.2762341047375942E-2</v>
      </c>
      <c r="I96" s="65">
        <f>STDEV(I12:I93)/(($A$93-$A$12+1)^0.5)</f>
        <v>2.4045560204907526E-2</v>
      </c>
    </row>
    <row r="97" spans="1:9">
      <c r="A97" s="57" t="s">
        <v>168</v>
      </c>
      <c r="B97" s="58">
        <f>AVERAGE(B44:B93)</f>
        <v>0.10805400361282651</v>
      </c>
      <c r="C97" s="58">
        <f>AVERAGE(C44:C93)</f>
        <v>5.3278999999999993E-2</v>
      </c>
      <c r="D97" s="58">
        <f>AVERAGE(D44:D93)</f>
        <v>7.0265739033637087E-2</v>
      </c>
      <c r="F97" s="65">
        <f>B97-C97</f>
        <v>5.4775003612826514E-2</v>
      </c>
      <c r="G97" s="65">
        <f>B97-D97</f>
        <v>3.7788264579189421E-2</v>
      </c>
      <c r="H97" s="65">
        <f>STDEV(H44:H93)/(($A$93-$A$44+1)^0.5)</f>
        <v>2.4222454168609107E-2</v>
      </c>
      <c r="I97" s="65">
        <f>STDEV(I44:I93)/(($A$93-$A$44+1)^0.5)</f>
        <v>2.7089098238104604E-2</v>
      </c>
    </row>
    <row r="98" spans="1:9">
      <c r="A98" s="57" t="s">
        <v>169</v>
      </c>
      <c r="B98" s="58">
        <f>AVERAGE(B84:B93)</f>
        <v>1.1531384237208963E-2</v>
      </c>
      <c r="C98" s="58">
        <f>AVERAGE(C84:C93)</f>
        <v>2.7400000000000001E-2</v>
      </c>
      <c r="D98" s="58">
        <f>AVERAGE(D84:D93)</f>
        <v>6.6232891728473603E-2</v>
      </c>
      <c r="F98" s="65">
        <f>B98-C98</f>
        <v>-1.5868615762791038E-2</v>
      </c>
      <c r="G98" s="65">
        <f>B98-D98</f>
        <v>-5.4701507491264637E-2</v>
      </c>
      <c r="H98" s="65">
        <f>STDEV(H84:H93)/(($A$93-$A$84+1)^0.5)</f>
        <v>6.7287617598518812E-2</v>
      </c>
      <c r="I98" s="65">
        <f>STDEV(I84:I93)/(($A$93-$A$84+1)^0.5)</f>
        <v>9.2244075978866968E-2</v>
      </c>
    </row>
    <row r="99" spans="1:9" ht="16.2">
      <c r="F99" s="66" t="s">
        <v>162</v>
      </c>
    </row>
    <row r="100" spans="1:9">
      <c r="A100" s="67" t="s">
        <v>170</v>
      </c>
      <c r="F100" s="56" t="s">
        <v>165</v>
      </c>
      <c r="G100" s="56" t="s">
        <v>166</v>
      </c>
    </row>
    <row r="101" spans="1:9">
      <c r="A101" s="57" t="s">
        <v>167</v>
      </c>
      <c r="B101" s="68">
        <f>(E93/100)^(1/(A93-A12+1))-1</f>
        <v>9.2576895415944938E-2</v>
      </c>
      <c r="C101" s="68">
        <f>(F93/100)^(1/(A93-A12+1))-1</f>
        <v>3.7000285570658153E-2</v>
      </c>
      <c r="D101" s="68">
        <f>(G93/100)^(1/(A93-A12+1))-1</f>
        <v>4.97168821824856E-2</v>
      </c>
      <c r="F101" s="65">
        <f>B101-C101</f>
        <v>5.5576609845286784E-2</v>
      </c>
      <c r="G101" s="65">
        <f>B101-D101</f>
        <v>4.2860013233459338E-2</v>
      </c>
    </row>
    <row r="102" spans="1:9">
      <c r="A102" s="57" t="s">
        <v>168</v>
      </c>
      <c r="B102" s="68">
        <f>(E93/E43)^(1/($A$93-$A$43))-1</f>
        <v>9.3781164657648741E-2</v>
      </c>
      <c r="C102" s="68">
        <f>(F93/F43)^(1/($A$93-$A$43))-1</f>
        <v>5.2925963658911002E-2</v>
      </c>
      <c r="D102" s="68">
        <f>(G93/G43)^(1/($A$93-$A$43))-1</f>
        <v>6.6418331046538936E-2</v>
      </c>
      <c r="F102" s="65">
        <f>B102-C102</f>
        <v>4.085520099873774E-2</v>
      </c>
      <c r="G102" s="65">
        <f>B102-D102</f>
        <v>2.7362833611109805E-2</v>
      </c>
    </row>
    <row r="103" spans="1:9">
      <c r="A103" s="57" t="s">
        <v>169</v>
      </c>
      <c r="B103" s="68">
        <f>(E93/E83)^(1/($A$93-$A$83))-1</f>
        <v>-9.5803658743158771E-3</v>
      </c>
      <c r="C103" s="68">
        <f>(F93/F83)^(1/($A$93-$A$83))-1</f>
        <v>2.7244889121553539E-2</v>
      </c>
      <c r="D103" s="68">
        <f>(G93/G83)^(1/($A$93-$A$83))-1</f>
        <v>6.2575136538935983E-2</v>
      </c>
      <c r="F103" s="65">
        <f>B103-C103</f>
        <v>-3.6825254995869416E-2</v>
      </c>
      <c r="G103" s="65">
        <f>B103-D103</f>
        <v>-7.215550241325186E-2</v>
      </c>
    </row>
  </sheetData>
  <mergeCells count="2">
    <mergeCell ref="F94:G94"/>
    <mergeCell ref="H94:I9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workbookViewId="0">
      <selection activeCell="K123" sqref="K123"/>
    </sheetView>
  </sheetViews>
  <sheetFormatPr baseColWidth="10" defaultRowHeight="12.6"/>
  <sheetData>
    <row r="1" spans="1:16" ht="13.2" thickBot="1">
      <c r="A1" s="70">
        <v>1.96</v>
      </c>
      <c r="B1" s="70">
        <v>1.96</v>
      </c>
      <c r="C1" s="70">
        <v>1.96</v>
      </c>
      <c r="D1" s="70">
        <v>1.96</v>
      </c>
      <c r="E1" s="70">
        <v>1.96</v>
      </c>
      <c r="F1" s="70">
        <v>1.96</v>
      </c>
      <c r="G1" s="70">
        <v>1.96</v>
      </c>
      <c r="H1" s="70">
        <v>1.96</v>
      </c>
      <c r="I1" s="70">
        <v>1.96</v>
      </c>
      <c r="J1" s="70">
        <v>1.96</v>
      </c>
      <c r="K1" s="70">
        <v>1.96</v>
      </c>
      <c r="L1" s="70">
        <v>1.96</v>
      </c>
      <c r="M1" s="70">
        <v>1.96</v>
      </c>
      <c r="O1">
        <f>+M1</f>
        <v>1.96</v>
      </c>
    </row>
    <row r="2" spans="1:16">
      <c r="A2" s="295">
        <v>1951</v>
      </c>
      <c r="B2" s="296"/>
      <c r="C2" s="288">
        <v>1.96</v>
      </c>
      <c r="D2" s="288">
        <v>1.96</v>
      </c>
      <c r="E2" s="288">
        <v>2.15</v>
      </c>
      <c r="F2" s="288">
        <v>2.5099999999999998</v>
      </c>
      <c r="G2" s="288">
        <v>2.5099999999999998</v>
      </c>
      <c r="H2" s="288">
        <v>2.5099999999999998</v>
      </c>
      <c r="I2" s="288">
        <v>2.5099999999999998</v>
      </c>
      <c r="J2" s="288">
        <v>2.5099999999999998</v>
      </c>
      <c r="K2" s="288">
        <v>2.5099999999999998</v>
      </c>
      <c r="L2" s="288">
        <v>2.5099999999999998</v>
      </c>
      <c r="M2" s="288">
        <v>2.5099999999999998</v>
      </c>
      <c r="N2" s="290">
        <v>2.5099999999999998</v>
      </c>
      <c r="O2" s="290">
        <v>2.39</v>
      </c>
      <c r="P2" s="290"/>
    </row>
    <row r="3" spans="1:16" ht="13.2" thickBot="1">
      <c r="A3" s="292"/>
      <c r="B3" s="294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>
      <c r="A4" s="291">
        <v>1952</v>
      </c>
      <c r="B4" s="293"/>
      <c r="C4" s="288">
        <v>2.5099999999999998</v>
      </c>
      <c r="D4" s="288">
        <v>2.5099999999999998</v>
      </c>
      <c r="E4" s="288">
        <v>2.5099999999999998</v>
      </c>
      <c r="F4" s="288">
        <v>2.5099999999999998</v>
      </c>
      <c r="G4" s="288">
        <v>2.5099999999999998</v>
      </c>
      <c r="H4" s="288">
        <v>2.5099999999999998</v>
      </c>
      <c r="I4" s="288">
        <v>2.5099999999999998</v>
      </c>
      <c r="J4" s="288">
        <v>2.5099999999999998</v>
      </c>
      <c r="K4" s="288">
        <v>2.5099999999999998</v>
      </c>
      <c r="L4" s="288">
        <v>2.5099999999999998</v>
      </c>
      <c r="M4" s="288">
        <v>2.5099999999999998</v>
      </c>
      <c r="N4" s="288">
        <v>2.5099999999999998</v>
      </c>
      <c r="O4" s="288">
        <v>2.5099999999999998</v>
      </c>
      <c r="P4" s="299">
        <f>+N4/N2-1</f>
        <v>0</v>
      </c>
    </row>
    <row r="5" spans="1:16" ht="13.2" thickBot="1">
      <c r="A5" s="292"/>
      <c r="B5" s="294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300"/>
    </row>
    <row r="6" spans="1:16">
      <c r="A6" s="291">
        <v>1953</v>
      </c>
      <c r="B6" s="293"/>
      <c r="C6" s="288">
        <v>2.5099999999999998</v>
      </c>
      <c r="D6" s="288">
        <v>2.5099999999999998</v>
      </c>
      <c r="E6" s="288">
        <v>2.5099999999999998</v>
      </c>
      <c r="F6" s="288">
        <v>2.5099999999999998</v>
      </c>
      <c r="G6" s="288">
        <v>2.5099999999999998</v>
      </c>
      <c r="H6" s="288">
        <v>2.5099999999999998</v>
      </c>
      <c r="I6" s="288">
        <v>2.5099999999999998</v>
      </c>
      <c r="J6" s="288">
        <v>2.5099999999999998</v>
      </c>
      <c r="K6" s="288">
        <v>2.5099999999999998</v>
      </c>
      <c r="L6" s="288">
        <v>2.5099999999999998</v>
      </c>
      <c r="M6" s="288">
        <v>2.5099999999999998</v>
      </c>
      <c r="N6" s="288">
        <v>2.5099999999999998</v>
      </c>
      <c r="O6" s="288">
        <v>2.5099999999999998</v>
      </c>
      <c r="P6" s="299">
        <f>+N6/N4-1</f>
        <v>0</v>
      </c>
    </row>
    <row r="7" spans="1:16" ht="13.2" thickBot="1">
      <c r="A7" s="292"/>
      <c r="B7" s="294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300"/>
    </row>
    <row r="8" spans="1:16">
      <c r="A8" s="291">
        <v>1954</v>
      </c>
      <c r="B8" s="293"/>
      <c r="C8" s="288">
        <v>2.5099999999999998</v>
      </c>
      <c r="D8" s="288">
        <v>2.5099999999999998</v>
      </c>
      <c r="E8" s="288">
        <v>2.5099999999999998</v>
      </c>
      <c r="F8" s="288">
        <v>2.5099999999999998</v>
      </c>
      <c r="G8" s="288">
        <v>2.5099999999999998</v>
      </c>
      <c r="H8" s="288">
        <v>2.5099999999999998</v>
      </c>
      <c r="I8" s="288">
        <v>2.5099999999999998</v>
      </c>
      <c r="J8" s="288">
        <v>2.5099999999999998</v>
      </c>
      <c r="K8" s="288">
        <v>2.5099999999999998</v>
      </c>
      <c r="L8" s="288">
        <v>2.5099999999999998</v>
      </c>
      <c r="M8" s="288">
        <v>2.5099999999999998</v>
      </c>
      <c r="N8" s="288">
        <v>2.5099999999999998</v>
      </c>
      <c r="O8" s="288">
        <v>2.5099999999999998</v>
      </c>
      <c r="P8" s="299">
        <f t="shared" ref="P8" si="0">+N8/N6-1</f>
        <v>0</v>
      </c>
    </row>
    <row r="9" spans="1:16" ht="13.2" thickBot="1">
      <c r="A9" s="292"/>
      <c r="B9" s="294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300"/>
    </row>
    <row r="10" spans="1:16">
      <c r="A10" s="291">
        <v>1955</v>
      </c>
      <c r="B10" s="293"/>
      <c r="C10" s="288">
        <v>2.5099999999999998</v>
      </c>
      <c r="D10" s="288">
        <v>2.5099999999999998</v>
      </c>
      <c r="E10" s="288">
        <v>2.5099999999999998</v>
      </c>
      <c r="F10" s="288">
        <v>2.5099999999999998</v>
      </c>
      <c r="G10" s="288">
        <v>2.5099999999999998</v>
      </c>
      <c r="H10" s="288">
        <v>2.5099999999999998</v>
      </c>
      <c r="I10" s="288">
        <v>2.5099999999999998</v>
      </c>
      <c r="J10" s="288">
        <v>2.5099999999999998</v>
      </c>
      <c r="K10" s="288">
        <v>2.5099999999999998</v>
      </c>
      <c r="L10" s="288">
        <v>2.5099999999999998</v>
      </c>
      <c r="M10" s="288">
        <v>2.5099999999999998</v>
      </c>
      <c r="N10" s="288">
        <v>2.5099999999999998</v>
      </c>
      <c r="O10" s="288">
        <v>2.5099999999999998</v>
      </c>
      <c r="P10" s="299">
        <f t="shared" ref="P10" si="1">+N10/N8-1</f>
        <v>0</v>
      </c>
    </row>
    <row r="11" spans="1:16" ht="13.2" thickBot="1">
      <c r="A11" s="292"/>
      <c r="B11" s="294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300"/>
    </row>
    <row r="12" spans="1:16">
      <c r="A12" s="291">
        <v>1956</v>
      </c>
      <c r="B12" s="293"/>
      <c r="C12" s="288">
        <v>2.5099999999999998</v>
      </c>
      <c r="D12" s="288">
        <v>2.5099999999999998</v>
      </c>
      <c r="E12" s="288">
        <v>2.5099999999999998</v>
      </c>
      <c r="F12" s="288">
        <v>2.5099999999999998</v>
      </c>
      <c r="G12" s="288">
        <v>2.5099999999999998</v>
      </c>
      <c r="H12" s="288">
        <v>2.5099999999999998</v>
      </c>
      <c r="I12" s="288">
        <v>2.5099999999999998</v>
      </c>
      <c r="J12" s="288">
        <v>2.5099999999999998</v>
      </c>
      <c r="K12" s="288">
        <v>2.5099999999999998</v>
      </c>
      <c r="L12" s="288">
        <v>2.5099999999999998</v>
      </c>
      <c r="M12" s="288">
        <v>2.5099999999999998</v>
      </c>
      <c r="N12" s="288">
        <v>2.5099999999999998</v>
      </c>
      <c r="O12" s="288">
        <v>2.5099999999999998</v>
      </c>
      <c r="P12" s="299">
        <f t="shared" ref="P12" si="2">+N12/N10-1</f>
        <v>0</v>
      </c>
    </row>
    <row r="13" spans="1:16" ht="13.2" thickBot="1">
      <c r="A13" s="292"/>
      <c r="B13" s="294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300"/>
    </row>
    <row r="14" spans="1:16">
      <c r="A14" s="291">
        <v>1957</v>
      </c>
      <c r="B14" s="293"/>
      <c r="C14" s="288">
        <v>2.5099999999999998</v>
      </c>
      <c r="D14" s="288">
        <v>2.5099999999999998</v>
      </c>
      <c r="E14" s="288">
        <v>2.5099999999999998</v>
      </c>
      <c r="F14" s="288">
        <v>2.5099999999999998</v>
      </c>
      <c r="G14" s="288">
        <v>2.5099999999999998</v>
      </c>
      <c r="H14" s="288">
        <v>2.5099999999999998</v>
      </c>
      <c r="I14" s="288">
        <v>4.8099999999999996</v>
      </c>
      <c r="J14" s="288">
        <v>4.9000000000000004</v>
      </c>
      <c r="K14" s="288">
        <v>5.12</v>
      </c>
      <c r="L14" s="288">
        <v>5.0999999999999996</v>
      </c>
      <c r="M14" s="288">
        <v>5.2</v>
      </c>
      <c r="N14" s="288">
        <v>5.38</v>
      </c>
      <c r="O14" s="288">
        <v>3.8</v>
      </c>
      <c r="P14" s="299">
        <f t="shared" ref="P14" si="3">+N14/N12-1</f>
        <v>1.1434262948207174</v>
      </c>
    </row>
    <row r="15" spans="1:16" ht="13.2" thickBot="1">
      <c r="A15" s="292"/>
      <c r="B15" s="294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300"/>
    </row>
    <row r="16" spans="1:16">
      <c r="A16" s="291">
        <v>1958</v>
      </c>
      <c r="B16" s="293"/>
      <c r="C16" s="288">
        <v>5.61</v>
      </c>
      <c r="D16" s="288">
        <v>6.01</v>
      </c>
      <c r="E16" s="288">
        <v>6.11</v>
      </c>
      <c r="F16" s="288">
        <v>6.64</v>
      </c>
      <c r="G16" s="288">
        <v>6.77</v>
      </c>
      <c r="H16" s="288">
        <v>6.8</v>
      </c>
      <c r="I16" s="288">
        <v>6.74</v>
      </c>
      <c r="J16" s="288">
        <v>6.52</v>
      </c>
      <c r="K16" s="288">
        <v>6.38</v>
      </c>
      <c r="L16" s="288">
        <v>6.4</v>
      </c>
      <c r="M16" s="288">
        <v>6.42</v>
      </c>
      <c r="N16" s="288">
        <v>6.4</v>
      </c>
      <c r="O16" s="288">
        <v>6.4</v>
      </c>
      <c r="P16" s="299">
        <f t="shared" ref="P16" si="4">+N16/N14-1</f>
        <v>0.18959107806691455</v>
      </c>
    </row>
    <row r="17" spans="1:16" ht="13.2" thickBot="1">
      <c r="A17" s="292"/>
      <c r="B17" s="294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300"/>
    </row>
    <row r="18" spans="1:16">
      <c r="A18" s="291">
        <v>1959</v>
      </c>
      <c r="B18" s="293"/>
      <c r="C18" s="288">
        <v>6.4</v>
      </c>
      <c r="D18" s="288">
        <v>6.4</v>
      </c>
      <c r="E18" s="288">
        <v>6.4</v>
      </c>
      <c r="F18" s="288">
        <v>6.4</v>
      </c>
      <c r="G18" s="288">
        <v>6.4</v>
      </c>
      <c r="H18" s="288">
        <v>6.4</v>
      </c>
      <c r="I18" s="288">
        <v>6.4</v>
      </c>
      <c r="J18" s="288">
        <v>6.4</v>
      </c>
      <c r="K18" s="288">
        <v>6.4</v>
      </c>
      <c r="L18" s="288">
        <v>6.4</v>
      </c>
      <c r="M18" s="288">
        <v>6.4</v>
      </c>
      <c r="N18" s="288">
        <v>6.4</v>
      </c>
      <c r="O18" s="288">
        <v>6.4</v>
      </c>
      <c r="P18" s="299">
        <f t="shared" ref="P18" si="5">+N18/N16-1</f>
        <v>0</v>
      </c>
    </row>
    <row r="19" spans="1:16" ht="13.2" thickBot="1">
      <c r="A19" s="292"/>
      <c r="B19" s="294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300"/>
    </row>
    <row r="20" spans="1:16">
      <c r="A20" s="291">
        <v>1960</v>
      </c>
      <c r="B20" s="293"/>
      <c r="C20" s="288">
        <v>6.4</v>
      </c>
      <c r="D20" s="288">
        <v>6.4</v>
      </c>
      <c r="E20" s="288">
        <v>6.52</v>
      </c>
      <c r="F20" s="288">
        <v>6.7</v>
      </c>
      <c r="G20" s="288">
        <v>6.7</v>
      </c>
      <c r="H20" s="288">
        <v>6.7</v>
      </c>
      <c r="I20" s="288">
        <v>6.7</v>
      </c>
      <c r="J20" s="288">
        <v>6.7</v>
      </c>
      <c r="K20" s="288">
        <v>6.7</v>
      </c>
      <c r="L20" s="288">
        <v>6.7</v>
      </c>
      <c r="M20" s="288">
        <v>6.7</v>
      </c>
      <c r="N20" s="288">
        <v>6.7</v>
      </c>
      <c r="O20" s="288">
        <v>6.64</v>
      </c>
      <c r="P20" s="299">
        <f t="shared" ref="P20" si="6">+N20/N18-1</f>
        <v>4.6875E-2</v>
      </c>
    </row>
    <row r="21" spans="1:16" ht="13.2" thickBot="1">
      <c r="A21" s="292"/>
      <c r="B21" s="294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300"/>
    </row>
    <row r="22" spans="1:16">
      <c r="A22" s="291">
        <v>1961</v>
      </c>
      <c r="B22" s="293"/>
      <c r="C22" s="288">
        <v>6.7</v>
      </c>
      <c r="D22" s="288">
        <v>6.7</v>
      </c>
      <c r="E22" s="288">
        <v>6.7</v>
      </c>
      <c r="F22" s="288">
        <v>6.7</v>
      </c>
      <c r="G22" s="288">
        <v>6.7</v>
      </c>
      <c r="H22" s="288">
        <v>6.7</v>
      </c>
      <c r="I22" s="288">
        <v>6.7</v>
      </c>
      <c r="J22" s="288">
        <v>6.7</v>
      </c>
      <c r="K22" s="288">
        <v>6.7</v>
      </c>
      <c r="L22" s="288">
        <v>6.7</v>
      </c>
      <c r="M22" s="288">
        <v>6.7</v>
      </c>
      <c r="N22" s="288">
        <v>6.7</v>
      </c>
      <c r="O22" s="288">
        <v>6.7</v>
      </c>
      <c r="P22" s="299">
        <f t="shared" ref="P22" si="7">+N22/N20-1</f>
        <v>0</v>
      </c>
    </row>
    <row r="23" spans="1:16" ht="13.2" thickBot="1">
      <c r="A23" s="292"/>
      <c r="B23" s="294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300"/>
    </row>
    <row r="24" spans="1:16">
      <c r="A24" s="291">
        <v>1962</v>
      </c>
      <c r="B24" s="293"/>
      <c r="C24" s="288">
        <v>6.7</v>
      </c>
      <c r="D24" s="288">
        <v>6.7</v>
      </c>
      <c r="E24" s="288">
        <v>6.7</v>
      </c>
      <c r="F24" s="288">
        <v>6.7</v>
      </c>
      <c r="G24" s="288">
        <v>6.7</v>
      </c>
      <c r="H24" s="288">
        <v>6.7</v>
      </c>
      <c r="I24" s="288">
        <v>6.7</v>
      </c>
      <c r="J24" s="288">
        <v>6.7</v>
      </c>
      <c r="K24" s="288">
        <v>6.7</v>
      </c>
      <c r="L24" s="288">
        <v>6.7</v>
      </c>
      <c r="M24" s="288">
        <v>7.54</v>
      </c>
      <c r="N24" s="288">
        <v>9</v>
      </c>
      <c r="O24" s="288">
        <v>6.96</v>
      </c>
      <c r="P24" s="299">
        <f t="shared" ref="P24" si="8">+N24/N22-1</f>
        <v>0.34328358208955212</v>
      </c>
    </row>
    <row r="25" spans="1:16" ht="13.2" thickBot="1">
      <c r="A25" s="292"/>
      <c r="B25" s="294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300"/>
    </row>
    <row r="26" spans="1:16">
      <c r="A26" s="291">
        <v>1963</v>
      </c>
      <c r="B26" s="293"/>
      <c r="C26" s="288">
        <v>9</v>
      </c>
      <c r="D26" s="288">
        <v>9</v>
      </c>
      <c r="E26" s="288">
        <v>9</v>
      </c>
      <c r="F26" s="288">
        <v>9</v>
      </c>
      <c r="G26" s="288">
        <v>9</v>
      </c>
      <c r="H26" s="288">
        <v>9</v>
      </c>
      <c r="I26" s="288">
        <v>9</v>
      </c>
      <c r="J26" s="288">
        <v>9</v>
      </c>
      <c r="K26" s="288">
        <v>9</v>
      </c>
      <c r="L26" s="288">
        <v>9</v>
      </c>
      <c r="M26" s="288">
        <v>9</v>
      </c>
      <c r="N26" s="288">
        <v>9</v>
      </c>
      <c r="O26" s="288">
        <v>9</v>
      </c>
      <c r="P26" s="299">
        <f t="shared" ref="P26" si="9">+N26/N24-1</f>
        <v>0</v>
      </c>
    </row>
    <row r="27" spans="1:16" ht="13.2" thickBot="1">
      <c r="A27" s="292"/>
      <c r="B27" s="294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300"/>
    </row>
    <row r="28" spans="1:16">
      <c r="A28" s="291">
        <v>1964</v>
      </c>
      <c r="B28" s="293"/>
      <c r="C28" s="288">
        <v>9</v>
      </c>
      <c r="D28" s="288">
        <v>9</v>
      </c>
      <c r="E28" s="288">
        <v>9</v>
      </c>
      <c r="F28" s="288">
        <v>9</v>
      </c>
      <c r="G28" s="288">
        <v>9</v>
      </c>
      <c r="H28" s="288">
        <v>9</v>
      </c>
      <c r="I28" s="288">
        <v>9</v>
      </c>
      <c r="J28" s="288">
        <v>9</v>
      </c>
      <c r="K28" s="288">
        <v>9</v>
      </c>
      <c r="L28" s="288">
        <v>9</v>
      </c>
      <c r="M28" s="288">
        <v>9</v>
      </c>
      <c r="N28" s="288">
        <v>9</v>
      </c>
      <c r="O28" s="288">
        <v>9</v>
      </c>
      <c r="P28" s="299">
        <f t="shared" ref="P28" si="10">+N28/N26-1</f>
        <v>0</v>
      </c>
    </row>
    <row r="29" spans="1:16" ht="13.2" thickBot="1">
      <c r="A29" s="292"/>
      <c r="B29" s="294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300"/>
    </row>
    <row r="30" spans="1:16">
      <c r="A30" s="291">
        <v>1965</v>
      </c>
      <c r="B30" s="293"/>
      <c r="C30" s="288">
        <v>9</v>
      </c>
      <c r="D30" s="288">
        <v>9</v>
      </c>
      <c r="E30" s="288">
        <v>9</v>
      </c>
      <c r="F30" s="288">
        <v>9</v>
      </c>
      <c r="G30" s="288">
        <v>9</v>
      </c>
      <c r="H30" s="288">
        <v>9</v>
      </c>
      <c r="I30" s="288">
        <v>9</v>
      </c>
      <c r="J30" s="288">
        <v>9</v>
      </c>
      <c r="K30" s="288">
        <v>13.5</v>
      </c>
      <c r="L30" s="288">
        <v>13.5</v>
      </c>
      <c r="M30" s="288">
        <v>13.5</v>
      </c>
      <c r="N30" s="288">
        <v>13.5</v>
      </c>
      <c r="O30" s="288">
        <v>10.5</v>
      </c>
      <c r="P30" s="299">
        <f t="shared" ref="P30" si="11">+N30/N28-1</f>
        <v>0.5</v>
      </c>
    </row>
    <row r="31" spans="1:16" ht="13.2" thickBot="1">
      <c r="A31" s="292"/>
      <c r="B31" s="294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300"/>
    </row>
    <row r="32" spans="1:16">
      <c r="A32" s="291">
        <v>1966</v>
      </c>
      <c r="B32" s="293"/>
      <c r="C32" s="288">
        <v>13.5</v>
      </c>
      <c r="D32" s="288">
        <v>13.5</v>
      </c>
      <c r="E32" s="288">
        <v>13.5</v>
      </c>
      <c r="F32" s="288">
        <v>13.5</v>
      </c>
      <c r="G32" s="288">
        <v>13.5</v>
      </c>
      <c r="H32" s="288">
        <v>13.5</v>
      </c>
      <c r="I32" s="288">
        <v>13.5</v>
      </c>
      <c r="J32" s="288">
        <v>13.5</v>
      </c>
      <c r="K32" s="288">
        <v>13.5</v>
      </c>
      <c r="L32" s="288">
        <v>13.5</v>
      </c>
      <c r="M32" s="288">
        <v>13.5</v>
      </c>
      <c r="N32" s="288">
        <v>13.5</v>
      </c>
      <c r="O32" s="288">
        <v>13.5</v>
      </c>
      <c r="P32" s="299">
        <f t="shared" ref="P32" si="12">+N32/N30-1</f>
        <v>0</v>
      </c>
    </row>
    <row r="33" spans="1:16" ht="13.2" thickBot="1">
      <c r="A33" s="292"/>
      <c r="B33" s="294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300"/>
    </row>
    <row r="34" spans="1:16">
      <c r="A34" s="291">
        <v>1967</v>
      </c>
      <c r="B34" s="293"/>
      <c r="C34" s="288">
        <v>13.5</v>
      </c>
      <c r="D34" s="288">
        <v>13.5</v>
      </c>
      <c r="E34" s="288">
        <v>13.5</v>
      </c>
      <c r="F34" s="288">
        <v>13.79</v>
      </c>
      <c r="G34" s="288">
        <v>14.07</v>
      </c>
      <c r="H34" s="288">
        <v>14.4</v>
      </c>
      <c r="I34" s="288">
        <v>14.59</v>
      </c>
      <c r="J34" s="288">
        <v>14.84</v>
      </c>
      <c r="K34" s="288">
        <v>15.12</v>
      </c>
      <c r="L34" s="288">
        <v>15.4</v>
      </c>
      <c r="M34" s="288">
        <v>15.63</v>
      </c>
      <c r="N34" s="288">
        <v>15.74</v>
      </c>
      <c r="O34" s="288">
        <v>14.51</v>
      </c>
      <c r="P34" s="299">
        <f t="shared" ref="P34" si="13">+N34/N32-1</f>
        <v>0.16592592592592603</v>
      </c>
    </row>
    <row r="35" spans="1:16" ht="13.2" thickBot="1">
      <c r="A35" s="292"/>
      <c r="B35" s="294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300"/>
    </row>
    <row r="36" spans="1:16">
      <c r="A36" s="291">
        <v>1968</v>
      </c>
      <c r="B36" s="293"/>
      <c r="C36" s="288">
        <v>15.77</v>
      </c>
      <c r="D36" s="288">
        <v>15.84</v>
      </c>
      <c r="E36" s="288">
        <v>15.94</v>
      </c>
      <c r="F36" s="288">
        <v>16.059999999999999</v>
      </c>
      <c r="G36" s="288">
        <v>16.190000000000001</v>
      </c>
      <c r="H36" s="288">
        <v>16.27</v>
      </c>
      <c r="I36" s="288">
        <v>16.309999999999999</v>
      </c>
      <c r="J36" s="288">
        <v>16.39</v>
      </c>
      <c r="K36" s="288">
        <v>16.489999999999998</v>
      </c>
      <c r="L36" s="288">
        <v>16.62</v>
      </c>
      <c r="M36" s="288">
        <v>16.760000000000002</v>
      </c>
      <c r="N36" s="288">
        <v>16.86</v>
      </c>
      <c r="O36" s="288">
        <v>16.29</v>
      </c>
      <c r="P36" s="299">
        <f t="shared" ref="P36" si="14">+N36/N34-1</f>
        <v>7.1156289707750897E-2</v>
      </c>
    </row>
    <row r="37" spans="1:16" ht="13.2" thickBot="1">
      <c r="A37" s="292"/>
      <c r="B37" s="294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300"/>
    </row>
    <row r="38" spans="1:16">
      <c r="A38" s="291">
        <v>1969</v>
      </c>
      <c r="B38" s="293"/>
      <c r="C38" s="288">
        <v>16.88</v>
      </c>
      <c r="D38" s="288">
        <v>16.940000000000001</v>
      </c>
      <c r="E38" s="288">
        <v>17.04</v>
      </c>
      <c r="F38" s="288">
        <v>17.13</v>
      </c>
      <c r="G38" s="288">
        <v>17.170000000000002</v>
      </c>
      <c r="H38" s="288">
        <v>17.27</v>
      </c>
      <c r="I38" s="288">
        <v>17.329999999999998</v>
      </c>
      <c r="J38" s="288">
        <v>17.440000000000001</v>
      </c>
      <c r="K38" s="288">
        <v>17.55</v>
      </c>
      <c r="L38" s="288">
        <v>17.62</v>
      </c>
      <c r="M38" s="288">
        <v>17.690000000000001</v>
      </c>
      <c r="N38" s="288">
        <v>17.8</v>
      </c>
      <c r="O38" s="288">
        <v>17.32</v>
      </c>
      <c r="P38" s="299">
        <f t="shared" ref="P38" si="15">+N38/N36-1</f>
        <v>5.5753262158956263E-2</v>
      </c>
    </row>
    <row r="39" spans="1:16" ht="13.2" thickBot="1">
      <c r="A39" s="292"/>
      <c r="B39" s="294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300"/>
    </row>
    <row r="40" spans="1:16">
      <c r="A40" s="291">
        <v>1970</v>
      </c>
      <c r="B40" s="293"/>
      <c r="C40" s="288">
        <v>17.899999999999999</v>
      </c>
      <c r="D40" s="288">
        <v>18</v>
      </c>
      <c r="E40" s="288">
        <v>18.09</v>
      </c>
      <c r="F40" s="288">
        <v>18.2</v>
      </c>
      <c r="G40" s="288">
        <v>18.28</v>
      </c>
      <c r="H40" s="288">
        <v>18.38</v>
      </c>
      <c r="I40" s="288">
        <v>18.48</v>
      </c>
      <c r="J40" s="288">
        <v>18.55</v>
      </c>
      <c r="K40" s="288">
        <v>18.68</v>
      </c>
      <c r="L40" s="288">
        <v>18.82</v>
      </c>
      <c r="M40" s="288">
        <v>18.920000000000002</v>
      </c>
      <c r="N40" s="288">
        <v>19.03</v>
      </c>
      <c r="O40" s="288">
        <v>18.440000000000001</v>
      </c>
      <c r="P40" s="299">
        <f t="shared" ref="P40" si="16">+N40/N38-1</f>
        <v>6.9101123595505687E-2</v>
      </c>
    </row>
    <row r="41" spans="1:16" ht="13.2" thickBot="1">
      <c r="A41" s="292"/>
      <c r="B41" s="294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300"/>
    </row>
    <row r="42" spans="1:16">
      <c r="A42" s="291">
        <v>1971</v>
      </c>
      <c r="B42" s="293"/>
      <c r="C42" s="288">
        <v>19.149999999999999</v>
      </c>
      <c r="D42" s="288">
        <v>19.28</v>
      </c>
      <c r="E42" s="288">
        <v>19.41</v>
      </c>
      <c r="F42" s="288">
        <v>19.559999999999999</v>
      </c>
      <c r="G42" s="288">
        <v>19.68</v>
      </c>
      <c r="H42" s="288">
        <v>19.8</v>
      </c>
      <c r="I42" s="288">
        <v>19.97</v>
      </c>
      <c r="J42" s="288">
        <v>20.14</v>
      </c>
      <c r="K42" s="288">
        <v>20.309999999999999</v>
      </c>
      <c r="L42" s="288">
        <v>20.46</v>
      </c>
      <c r="M42" s="288">
        <v>20.63</v>
      </c>
      <c r="N42" s="288">
        <v>20.81</v>
      </c>
      <c r="O42" s="288">
        <v>19.93</v>
      </c>
      <c r="P42" s="299">
        <f t="shared" ref="P42" si="17">+N42/N40-1</f>
        <v>9.3536521282185925E-2</v>
      </c>
    </row>
    <row r="43" spans="1:16" ht="13.2" thickBot="1">
      <c r="A43" s="292"/>
      <c r="B43" s="294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300"/>
    </row>
    <row r="44" spans="1:16">
      <c r="A44" s="291">
        <v>1972</v>
      </c>
      <c r="B44" s="293"/>
      <c r="C44" s="288">
        <v>20.99</v>
      </c>
      <c r="D44" s="288">
        <v>21.17</v>
      </c>
      <c r="E44" s="288">
        <v>21.33</v>
      </c>
      <c r="F44" s="288">
        <v>21.5</v>
      </c>
      <c r="G44" s="288">
        <v>21.67</v>
      </c>
      <c r="H44" s="288">
        <v>21.82</v>
      </c>
      <c r="I44" s="288">
        <v>21.96</v>
      </c>
      <c r="J44" s="288">
        <v>22.09</v>
      </c>
      <c r="K44" s="288">
        <v>22.25</v>
      </c>
      <c r="L44" s="288">
        <v>22.39</v>
      </c>
      <c r="M44" s="288">
        <v>22.53</v>
      </c>
      <c r="N44" s="288">
        <v>22.7</v>
      </c>
      <c r="O44" s="288">
        <v>21.87</v>
      </c>
      <c r="P44" s="299">
        <f t="shared" ref="P44" si="18">+N44/N42-1</f>
        <v>9.0821720326766053E-2</v>
      </c>
    </row>
    <row r="45" spans="1:16" ht="13.2" thickBot="1">
      <c r="A45" s="292"/>
      <c r="B45" s="294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300"/>
    </row>
    <row r="46" spans="1:16">
      <c r="A46" s="291">
        <v>1973</v>
      </c>
      <c r="B46" s="293"/>
      <c r="C46" s="288">
        <v>22.28</v>
      </c>
      <c r="D46" s="288">
        <v>23.02</v>
      </c>
      <c r="E46" s="288">
        <v>23.13</v>
      </c>
      <c r="F46" s="288">
        <v>23.25</v>
      </c>
      <c r="G46" s="288">
        <v>23.36</v>
      </c>
      <c r="H46" s="288">
        <v>23.47</v>
      </c>
      <c r="I46" s="288">
        <v>23.6</v>
      </c>
      <c r="J46" s="288">
        <v>23.76</v>
      </c>
      <c r="K46" s="288">
        <v>23.79</v>
      </c>
      <c r="L46" s="288">
        <v>24.18</v>
      </c>
      <c r="M46" s="288">
        <v>24.37</v>
      </c>
      <c r="N46" s="288">
        <v>24.65</v>
      </c>
      <c r="O46" s="288">
        <v>23.57</v>
      </c>
      <c r="P46" s="299">
        <f t="shared" ref="P46" si="19">+N46/N44-1</f>
        <v>8.5903083700440419E-2</v>
      </c>
    </row>
    <row r="47" spans="1:16" ht="13.2" thickBot="1">
      <c r="A47" s="292"/>
      <c r="B47" s="294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300"/>
    </row>
    <row r="48" spans="1:16">
      <c r="A48" s="291">
        <v>1974</v>
      </c>
      <c r="B48" s="293"/>
      <c r="C48" s="288">
        <v>24.95</v>
      </c>
      <c r="D48" s="288">
        <v>25.22</v>
      </c>
      <c r="E48" s="288">
        <v>25.42</v>
      </c>
      <c r="F48" s="288">
        <v>25.5</v>
      </c>
      <c r="G48" s="288">
        <v>25.54</v>
      </c>
      <c r="H48" s="288">
        <v>25.58</v>
      </c>
      <c r="I48" s="288">
        <v>25.64</v>
      </c>
      <c r="J48" s="288">
        <v>25.81</v>
      </c>
      <c r="K48" s="288">
        <v>26.28</v>
      </c>
      <c r="L48" s="288">
        <v>27.01</v>
      </c>
      <c r="M48" s="288">
        <v>27.56</v>
      </c>
      <c r="N48" s="288">
        <v>28.23</v>
      </c>
      <c r="O48" s="288">
        <v>26.06</v>
      </c>
      <c r="P48" s="299">
        <f t="shared" ref="P48" si="20">+N48/N46-1</f>
        <v>0.14523326572008122</v>
      </c>
    </row>
    <row r="49" spans="1:16" ht="13.2" thickBot="1">
      <c r="A49" s="292"/>
      <c r="B49" s="294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300"/>
    </row>
    <row r="50" spans="1:16">
      <c r="A50" s="291">
        <v>1975</v>
      </c>
      <c r="B50" s="293"/>
      <c r="C50" s="288">
        <v>28.87</v>
      </c>
      <c r="D50" s="288">
        <v>29.24</v>
      </c>
      <c r="E50" s="288">
        <v>29.66</v>
      </c>
      <c r="F50" s="288">
        <v>30.05</v>
      </c>
      <c r="G50" s="288">
        <v>30.42</v>
      </c>
      <c r="H50" s="288">
        <v>30.82</v>
      </c>
      <c r="I50" s="288">
        <v>31.18</v>
      </c>
      <c r="J50" s="288">
        <v>31.52</v>
      </c>
      <c r="K50" s="288">
        <v>31.85</v>
      </c>
      <c r="L50" s="288">
        <v>32.17</v>
      </c>
      <c r="M50" s="288">
        <v>32.51</v>
      </c>
      <c r="N50" s="288">
        <v>32.840000000000003</v>
      </c>
      <c r="O50" s="288">
        <v>30.93</v>
      </c>
      <c r="P50" s="299">
        <f t="shared" ref="P50" si="21">+N50/N48-1</f>
        <v>0.16330145235565019</v>
      </c>
    </row>
    <row r="51" spans="1:16" ht="13.2" thickBot="1">
      <c r="A51" s="292"/>
      <c r="B51" s="294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300"/>
    </row>
    <row r="52" spans="1:16">
      <c r="A52" s="291">
        <v>1976</v>
      </c>
      <c r="B52" s="293"/>
      <c r="C52" s="288">
        <v>33.1</v>
      </c>
      <c r="D52" s="288">
        <v>33.49</v>
      </c>
      <c r="E52" s="288">
        <v>33.79</v>
      </c>
      <c r="F52" s="288">
        <v>34.1</v>
      </c>
      <c r="G52" s="288">
        <v>34.450000000000003</v>
      </c>
      <c r="H52" s="288">
        <v>34.65</v>
      </c>
      <c r="I52" s="288">
        <v>34.89</v>
      </c>
      <c r="J52" s="288">
        <v>35.200000000000003</v>
      </c>
      <c r="K52" s="288">
        <v>35.25</v>
      </c>
      <c r="L52" s="288">
        <v>35.409999999999997</v>
      </c>
      <c r="M52" s="288">
        <v>35.81</v>
      </c>
      <c r="N52" s="288">
        <v>36.200000000000003</v>
      </c>
      <c r="O52" s="288">
        <v>34.700000000000003</v>
      </c>
      <c r="P52" s="299">
        <f t="shared" ref="P52" si="22">+N52/N50-1</f>
        <v>0.10231425091351998</v>
      </c>
    </row>
    <row r="53" spans="1:16" ht="13.2" thickBot="1">
      <c r="A53" s="292"/>
      <c r="B53" s="294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300"/>
    </row>
    <row r="54" spans="1:16">
      <c r="A54" s="291">
        <v>1977</v>
      </c>
      <c r="B54" s="293"/>
      <c r="C54" s="288">
        <v>36.369999999999997</v>
      </c>
      <c r="D54" s="288">
        <v>36.380000000000003</v>
      </c>
      <c r="E54" s="288">
        <v>36.46</v>
      </c>
      <c r="F54" s="288">
        <v>36.54</v>
      </c>
      <c r="G54" s="288">
        <v>36.5</v>
      </c>
      <c r="H54" s="288">
        <v>36.5</v>
      </c>
      <c r="I54" s="288">
        <v>36.51</v>
      </c>
      <c r="J54" s="288">
        <v>36.67</v>
      </c>
      <c r="K54" s="288">
        <v>36.97</v>
      </c>
      <c r="L54" s="288">
        <v>37.229999999999997</v>
      </c>
      <c r="M54" s="288">
        <v>37.450000000000003</v>
      </c>
      <c r="N54" s="288">
        <v>37.71</v>
      </c>
      <c r="O54" s="288">
        <v>36.770000000000003</v>
      </c>
      <c r="P54" s="299">
        <f t="shared" ref="P54" si="23">+N54/N52-1</f>
        <v>4.1712707182320452E-2</v>
      </c>
    </row>
    <row r="55" spans="1:16" ht="13.2" thickBot="1">
      <c r="A55" s="292"/>
      <c r="B55" s="294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300"/>
    </row>
    <row r="56" spans="1:16">
      <c r="A56" s="291">
        <v>1978</v>
      </c>
      <c r="B56" s="293"/>
      <c r="C56" s="288">
        <v>38.03</v>
      </c>
      <c r="D56" s="288">
        <v>38.14</v>
      </c>
      <c r="E56" s="288">
        <v>38.33</v>
      </c>
      <c r="F56" s="288">
        <v>38.49</v>
      </c>
      <c r="G56" s="288">
        <v>38.659999999999997</v>
      </c>
      <c r="H56" s="288">
        <v>38.81</v>
      </c>
      <c r="I56" s="288">
        <v>38.950000000000003</v>
      </c>
      <c r="J56" s="288">
        <v>39.11</v>
      </c>
      <c r="K56" s="288">
        <v>39.450000000000003</v>
      </c>
      <c r="L56" s="288">
        <v>39.979999999999997</v>
      </c>
      <c r="M56" s="288">
        <v>40.4</v>
      </c>
      <c r="N56" s="288">
        <v>40.79</v>
      </c>
      <c r="O56" s="288">
        <v>39.1</v>
      </c>
      <c r="P56" s="299">
        <f t="shared" ref="P56" si="24">+N56/N54-1</f>
        <v>8.1675948024396705E-2</v>
      </c>
    </row>
    <row r="57" spans="1:16" ht="13.2" thickBot="1">
      <c r="A57" s="292"/>
      <c r="B57" s="294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300"/>
    </row>
    <row r="58" spans="1:16">
      <c r="A58" s="291">
        <v>1979</v>
      </c>
      <c r="B58" s="293"/>
      <c r="C58" s="288">
        <v>41.15</v>
      </c>
      <c r="D58" s="288">
        <v>41.44</v>
      </c>
      <c r="E58" s="288">
        <v>41.79</v>
      </c>
      <c r="F58" s="288">
        <v>42.21</v>
      </c>
      <c r="G58" s="288">
        <v>42.56</v>
      </c>
      <c r="H58" s="288">
        <v>42.69</v>
      </c>
      <c r="I58" s="288">
        <v>42.74</v>
      </c>
      <c r="J58" s="288">
        <v>42.8</v>
      </c>
      <c r="K58" s="288">
        <v>42.89</v>
      </c>
      <c r="L58" s="288">
        <v>43.14</v>
      </c>
      <c r="M58" s="288">
        <v>43.38</v>
      </c>
      <c r="N58" s="288">
        <v>43.79</v>
      </c>
      <c r="O58" s="288">
        <v>42.55</v>
      </c>
      <c r="P58" s="299">
        <f t="shared" ref="P58" si="25">+N58/N56-1</f>
        <v>7.3547438097572915E-2</v>
      </c>
    </row>
    <row r="59" spans="1:16" ht="13.2" thickBot="1">
      <c r="A59" s="292"/>
      <c r="B59" s="294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300"/>
    </row>
    <row r="60" spans="1:16">
      <c r="A60" s="291">
        <v>1980</v>
      </c>
      <c r="B60" s="293"/>
      <c r="C60" s="288">
        <v>44.16</v>
      </c>
      <c r="D60" s="288">
        <v>44.68</v>
      </c>
      <c r="E60" s="288">
        <v>45.32</v>
      </c>
      <c r="F60" s="288">
        <v>45.82</v>
      </c>
      <c r="G60" s="288">
        <v>46.44</v>
      </c>
      <c r="H60" s="288">
        <v>47.1</v>
      </c>
      <c r="I60" s="288">
        <v>47.52</v>
      </c>
      <c r="J60" s="288">
        <v>48.02</v>
      </c>
      <c r="K60" s="288">
        <v>48.56</v>
      </c>
      <c r="L60" s="288">
        <v>49.23</v>
      </c>
      <c r="M60" s="288">
        <v>49.93</v>
      </c>
      <c r="N60" s="288">
        <v>50.56</v>
      </c>
      <c r="O60" s="288">
        <v>47.28</v>
      </c>
      <c r="P60" s="299">
        <f t="shared" ref="P60" si="26">+N60/N58-1</f>
        <v>0.15460150719342325</v>
      </c>
    </row>
    <row r="61" spans="1:16" ht="13.2" thickBot="1">
      <c r="A61" s="292"/>
      <c r="B61" s="294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300"/>
    </row>
    <row r="62" spans="1:16">
      <c r="A62" s="291">
        <v>1981</v>
      </c>
      <c r="B62" s="293"/>
      <c r="C62" s="288">
        <v>51.08</v>
      </c>
      <c r="D62" s="288">
        <v>51.71</v>
      </c>
      <c r="E62" s="288">
        <v>52.24</v>
      </c>
      <c r="F62" s="288">
        <v>52.71</v>
      </c>
      <c r="G62" s="288">
        <v>53.24</v>
      </c>
      <c r="H62" s="288">
        <v>53.9</v>
      </c>
      <c r="I62" s="288">
        <v>54.57</v>
      </c>
      <c r="J62" s="288">
        <v>55.3</v>
      </c>
      <c r="K62" s="288">
        <v>56.03</v>
      </c>
      <c r="L62" s="288">
        <v>56.79</v>
      </c>
      <c r="M62" s="288">
        <v>57.66</v>
      </c>
      <c r="N62" s="288">
        <v>58.64</v>
      </c>
      <c r="O62" s="288">
        <v>54.49</v>
      </c>
      <c r="P62" s="299">
        <f t="shared" ref="P62" si="27">+N62/N60-1</f>
        <v>0.15981012658227844</v>
      </c>
    </row>
    <row r="63" spans="1:16" ht="13.2" thickBot="1">
      <c r="A63" s="292"/>
      <c r="B63" s="294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300"/>
    </row>
    <row r="64" spans="1:16">
      <c r="A64" s="291">
        <v>1982</v>
      </c>
      <c r="B64" s="293"/>
      <c r="C64" s="288">
        <v>59.5</v>
      </c>
      <c r="D64" s="288">
        <v>60.24</v>
      </c>
      <c r="E64" s="288">
        <v>60.99</v>
      </c>
      <c r="F64" s="288">
        <v>61.82</v>
      </c>
      <c r="G64" s="288">
        <v>62.63</v>
      </c>
      <c r="H64" s="288">
        <v>63.52</v>
      </c>
      <c r="I64" s="288">
        <v>64.25</v>
      </c>
      <c r="J64" s="288">
        <v>65.180000000000007</v>
      </c>
      <c r="K64" s="288">
        <v>65.98</v>
      </c>
      <c r="L64" s="288">
        <v>66.989999999999995</v>
      </c>
      <c r="M64" s="288">
        <v>68.34</v>
      </c>
      <c r="N64" s="288">
        <v>69.59</v>
      </c>
      <c r="O64" s="288">
        <v>64.09</v>
      </c>
      <c r="P64" s="299">
        <f t="shared" ref="P64" si="28">+N64/N62-1</f>
        <v>0.18673260572987727</v>
      </c>
    </row>
    <row r="65" spans="1:16" ht="13.2" thickBot="1">
      <c r="A65" s="292"/>
      <c r="B65" s="294"/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300"/>
    </row>
    <row r="66" spans="1:16">
      <c r="A66" s="291">
        <v>1983</v>
      </c>
      <c r="B66" s="293"/>
      <c r="C66" s="288">
        <v>70.900000000000006</v>
      </c>
      <c r="D66" s="288">
        <v>72.06</v>
      </c>
      <c r="E66" s="288">
        <v>73.48</v>
      </c>
      <c r="F66" s="288">
        <v>74.89</v>
      </c>
      <c r="G66" s="288">
        <v>76.36</v>
      </c>
      <c r="H66" s="288">
        <v>77.78</v>
      </c>
      <c r="I66" s="288">
        <v>79.22</v>
      </c>
      <c r="J66" s="288">
        <v>80.88</v>
      </c>
      <c r="K66" s="288">
        <v>82.52</v>
      </c>
      <c r="L66" s="288">
        <v>84.26</v>
      </c>
      <c r="M66" s="288">
        <v>86.11</v>
      </c>
      <c r="N66" s="288">
        <v>87.83</v>
      </c>
      <c r="O66" s="288">
        <v>78.86</v>
      </c>
      <c r="P66" s="299">
        <f t="shared" ref="P66" si="29">+N66/N64-1</f>
        <v>0.26210662451501654</v>
      </c>
    </row>
    <row r="67" spans="1:16" ht="13.2" thickBot="1">
      <c r="A67" s="292"/>
      <c r="B67" s="294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300"/>
    </row>
    <row r="68" spans="1:16">
      <c r="A68" s="291">
        <v>1984</v>
      </c>
      <c r="B68" s="293"/>
      <c r="C68" s="288">
        <v>89.79</v>
      </c>
      <c r="D68" s="288">
        <v>91.57</v>
      </c>
      <c r="E68" s="288">
        <v>93.46</v>
      </c>
      <c r="F68" s="288">
        <v>95.42</v>
      </c>
      <c r="G68" s="288">
        <v>97.46</v>
      </c>
      <c r="H68" s="288">
        <v>99.4</v>
      </c>
      <c r="I68" s="288">
        <v>101.73</v>
      </c>
      <c r="J68" s="288">
        <v>103.73</v>
      </c>
      <c r="K68" s="288">
        <v>105.93</v>
      </c>
      <c r="L68" s="288">
        <v>108.13</v>
      </c>
      <c r="M68" s="288">
        <v>110.43</v>
      </c>
      <c r="N68" s="288">
        <v>112.76</v>
      </c>
      <c r="O68" s="288">
        <v>100.82</v>
      </c>
      <c r="P68" s="299">
        <f t="shared" ref="P68" si="30">+N68/N66-1</f>
        <v>0.28384378913810782</v>
      </c>
    </row>
    <row r="69" spans="1:16" ht="13.2" thickBot="1">
      <c r="A69" s="292"/>
      <c r="B69" s="294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300"/>
    </row>
    <row r="70" spans="1:16">
      <c r="A70" s="291">
        <v>1985</v>
      </c>
      <c r="B70" s="293"/>
      <c r="C70" s="288">
        <v>115.17</v>
      </c>
      <c r="D70" s="288">
        <v>118.25</v>
      </c>
      <c r="E70" s="288">
        <v>123.15</v>
      </c>
      <c r="F70" s="288">
        <v>129.62</v>
      </c>
      <c r="G70" s="288">
        <v>135.94999999999999</v>
      </c>
      <c r="H70" s="288">
        <v>140.72999999999999</v>
      </c>
      <c r="I70" s="288">
        <v>145.51</v>
      </c>
      <c r="J70" s="288">
        <v>150.03</v>
      </c>
      <c r="K70" s="288">
        <v>155.30000000000001</v>
      </c>
      <c r="L70" s="288">
        <v>160.26</v>
      </c>
      <c r="M70" s="288">
        <v>164.58</v>
      </c>
      <c r="N70" s="288">
        <v>169.19</v>
      </c>
      <c r="O70" s="288">
        <v>142.31</v>
      </c>
      <c r="P70" s="299">
        <f t="shared" ref="P70" si="31">+N70/N68-1</f>
        <v>0.50044341965235883</v>
      </c>
    </row>
    <row r="71" spans="1:16" ht="13.2" thickBot="1">
      <c r="A71" s="292"/>
      <c r="B71" s="294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300"/>
    </row>
    <row r="72" spans="1:16">
      <c r="A72" s="291">
        <v>1986</v>
      </c>
      <c r="B72" s="293"/>
      <c r="C72" s="288">
        <v>173.7</v>
      </c>
      <c r="D72" s="288">
        <v>176.59</v>
      </c>
      <c r="E72" s="288">
        <v>179.74</v>
      </c>
      <c r="F72" s="288">
        <v>184.43</v>
      </c>
      <c r="G72" s="288">
        <v>188.53</v>
      </c>
      <c r="H72" s="288">
        <v>192.35</v>
      </c>
      <c r="I72" s="288">
        <v>195.8</v>
      </c>
      <c r="J72" s="288">
        <v>199.17</v>
      </c>
      <c r="K72" s="288">
        <v>203.24</v>
      </c>
      <c r="L72" s="288">
        <v>208.05</v>
      </c>
      <c r="M72" s="288">
        <v>212.56</v>
      </c>
      <c r="N72" s="288">
        <v>216.97</v>
      </c>
      <c r="O72" s="288">
        <v>194.26</v>
      </c>
      <c r="P72" s="299">
        <f t="shared" ref="P72" si="32">+N72/N70-1</f>
        <v>0.28240439742301549</v>
      </c>
    </row>
    <row r="73" spans="1:16" ht="13.2" thickBot="1">
      <c r="A73" s="292"/>
      <c r="B73" s="294"/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300"/>
    </row>
    <row r="74" spans="1:16">
      <c r="A74" s="291">
        <v>1987</v>
      </c>
      <c r="B74" s="293"/>
      <c r="C74" s="288">
        <v>221.03</v>
      </c>
      <c r="D74" s="288">
        <v>224.82</v>
      </c>
      <c r="E74" s="288">
        <v>229.02</v>
      </c>
      <c r="F74" s="288">
        <v>233.17</v>
      </c>
      <c r="G74" s="288">
        <v>237.44</v>
      </c>
      <c r="H74" s="288">
        <v>241.39</v>
      </c>
      <c r="I74" s="288">
        <v>245.55</v>
      </c>
      <c r="J74" s="288">
        <v>249.35</v>
      </c>
      <c r="K74" s="288">
        <v>252.84</v>
      </c>
      <c r="L74" s="288">
        <v>255.85</v>
      </c>
      <c r="M74" s="288">
        <v>258.74</v>
      </c>
      <c r="N74" s="288">
        <v>262.08</v>
      </c>
      <c r="O74" s="288">
        <v>242.61</v>
      </c>
      <c r="P74" s="299">
        <f t="shared" ref="P74" si="33">+N74/N72-1</f>
        <v>0.20790892750149781</v>
      </c>
    </row>
    <row r="75" spans="1:16" ht="13.2" thickBot="1">
      <c r="A75" s="292"/>
      <c r="B75" s="294"/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300"/>
    </row>
    <row r="76" spans="1:16">
      <c r="A76" s="291">
        <v>1988</v>
      </c>
      <c r="B76" s="293"/>
      <c r="C76" s="288">
        <v>265.82</v>
      </c>
      <c r="D76" s="288">
        <v>270.91000000000003</v>
      </c>
      <c r="E76" s="288">
        <v>276.92</v>
      </c>
      <c r="F76" s="288">
        <v>283.45</v>
      </c>
      <c r="G76" s="288">
        <v>289.95999999999998</v>
      </c>
      <c r="H76" s="288">
        <v>296.36</v>
      </c>
      <c r="I76" s="288">
        <v>302.36</v>
      </c>
      <c r="J76" s="288">
        <v>308.39999999999998</v>
      </c>
      <c r="K76" s="288">
        <v>314.85000000000002</v>
      </c>
      <c r="L76" s="288">
        <v>321.07</v>
      </c>
      <c r="M76" s="288">
        <v>327.01</v>
      </c>
      <c r="N76" s="288">
        <v>332.97</v>
      </c>
      <c r="O76" s="288">
        <v>299.17</v>
      </c>
      <c r="P76" s="299">
        <f t="shared" ref="P76" si="34">+N76/N74-1</f>
        <v>0.270489926739927</v>
      </c>
    </row>
    <row r="77" spans="1:16" ht="13.2" thickBot="1">
      <c r="A77" s="292"/>
      <c r="B77" s="294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300"/>
    </row>
    <row r="78" spans="1:16">
      <c r="A78" s="291">
        <v>1989</v>
      </c>
      <c r="B78" s="293"/>
      <c r="C78" s="288">
        <v>339.62</v>
      </c>
      <c r="D78" s="288">
        <v>346.83</v>
      </c>
      <c r="E78" s="288">
        <v>354.12</v>
      </c>
      <c r="F78" s="288">
        <v>361.83</v>
      </c>
      <c r="G78" s="288">
        <v>369.93</v>
      </c>
      <c r="H78" s="288">
        <v>377.92</v>
      </c>
      <c r="I78" s="288">
        <v>385.71</v>
      </c>
      <c r="J78" s="288">
        <v>393.43</v>
      </c>
      <c r="K78" s="288">
        <v>401.8</v>
      </c>
      <c r="L78" s="288">
        <v>410.55</v>
      </c>
      <c r="M78" s="288">
        <v>419.76</v>
      </c>
      <c r="N78" s="288">
        <v>429.3</v>
      </c>
      <c r="O78" s="288">
        <v>382.57</v>
      </c>
      <c r="P78" s="299">
        <f t="shared" ref="P78" si="35">+N78/N76-1</f>
        <v>0.28930534282367781</v>
      </c>
    </row>
    <row r="79" spans="1:16" ht="13.2" thickBot="1">
      <c r="A79" s="292"/>
      <c r="B79" s="294"/>
      <c r="C79" s="289"/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300"/>
    </row>
    <row r="80" spans="1:16">
      <c r="A80" s="291">
        <v>1990</v>
      </c>
      <c r="B80" s="293"/>
      <c r="C80" s="288">
        <v>440.08</v>
      </c>
      <c r="D80" s="288">
        <v>451.72</v>
      </c>
      <c r="E80" s="288">
        <v>463.4</v>
      </c>
      <c r="F80" s="288">
        <v>474.62</v>
      </c>
      <c r="G80" s="288">
        <v>485.99</v>
      </c>
      <c r="H80" s="288">
        <v>497.31</v>
      </c>
      <c r="I80" s="288">
        <v>508.35</v>
      </c>
      <c r="J80" s="288">
        <v>519.94000000000005</v>
      </c>
      <c r="K80" s="288">
        <v>530.54</v>
      </c>
      <c r="L80" s="288">
        <v>540.46</v>
      </c>
      <c r="M80" s="288">
        <v>551.33000000000004</v>
      </c>
      <c r="N80" s="288">
        <v>563.38</v>
      </c>
      <c r="O80" s="288">
        <v>502.26</v>
      </c>
      <c r="P80" s="299">
        <f t="shared" ref="P80" si="36">+N80/N78-1</f>
        <v>0.31232238527836009</v>
      </c>
    </row>
    <row r="81" spans="1:16" ht="13.2" thickBot="1">
      <c r="A81" s="292"/>
      <c r="B81" s="294"/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300"/>
    </row>
    <row r="82" spans="1:16">
      <c r="A82" s="291">
        <v>1991</v>
      </c>
      <c r="B82" s="293"/>
      <c r="C82" s="288">
        <v>574.09</v>
      </c>
      <c r="D82" s="288">
        <v>584.07000000000005</v>
      </c>
      <c r="E82" s="288">
        <v>593.75</v>
      </c>
      <c r="F82" s="288">
        <v>603.72</v>
      </c>
      <c r="G82" s="288">
        <v>613.76</v>
      </c>
      <c r="H82" s="288">
        <v>624.15</v>
      </c>
      <c r="I82" s="288">
        <v>634.4</v>
      </c>
      <c r="J82" s="288">
        <v>645.55999999999995</v>
      </c>
      <c r="K82" s="288">
        <v>660.52</v>
      </c>
      <c r="L82" s="288">
        <v>673.84</v>
      </c>
      <c r="M82" s="288">
        <v>687.59</v>
      </c>
      <c r="N82" s="288">
        <v>630.38</v>
      </c>
      <c r="O82" s="288">
        <v>633.04999999999995</v>
      </c>
      <c r="P82" s="299">
        <f t="shared" ref="P82" si="37">+N82/N80-1</f>
        <v>0.11892505946252974</v>
      </c>
    </row>
    <row r="83" spans="1:16" ht="13.2" thickBot="1">
      <c r="A83" s="292"/>
      <c r="B83" s="294"/>
      <c r="C83" s="289"/>
      <c r="D83" s="289"/>
      <c r="E83" s="289"/>
      <c r="F83" s="289"/>
      <c r="G83" s="289"/>
      <c r="H83" s="289"/>
      <c r="I83" s="289"/>
      <c r="J83" s="289"/>
      <c r="K83" s="289"/>
      <c r="L83" s="289"/>
      <c r="M83" s="289"/>
      <c r="N83" s="289"/>
      <c r="O83" s="289"/>
      <c r="P83" s="300"/>
    </row>
    <row r="84" spans="1:16">
      <c r="A84" s="291">
        <v>1992</v>
      </c>
      <c r="B84" s="293"/>
      <c r="C84" s="288">
        <v>645.17999999999995</v>
      </c>
      <c r="D84" s="288">
        <v>635.53</v>
      </c>
      <c r="E84" s="288">
        <v>640.33000000000004</v>
      </c>
      <c r="F84" s="288">
        <v>649.16</v>
      </c>
      <c r="G84" s="288">
        <v>659.81</v>
      </c>
      <c r="H84" s="288">
        <v>675.79</v>
      </c>
      <c r="I84" s="288">
        <v>704.5</v>
      </c>
      <c r="J84" s="288">
        <v>693.72</v>
      </c>
      <c r="K84" s="288">
        <v>697.11</v>
      </c>
      <c r="L84" s="288">
        <v>707.65</v>
      </c>
      <c r="M84" s="288">
        <v>722.43</v>
      </c>
      <c r="N84" s="288">
        <v>733.42</v>
      </c>
      <c r="O84" s="288">
        <v>680.1</v>
      </c>
      <c r="P84" s="299">
        <f t="shared" ref="P84" si="38">+N84/N82-1</f>
        <v>0.16345696246708319</v>
      </c>
    </row>
    <row r="85" spans="1:16" ht="13.2" thickBot="1">
      <c r="A85" s="292"/>
      <c r="B85" s="294"/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89"/>
      <c r="O85" s="289"/>
      <c r="P85" s="300"/>
    </row>
    <row r="86" spans="1:16">
      <c r="A86" s="291">
        <v>1993</v>
      </c>
      <c r="B86" s="293"/>
      <c r="C86" s="288">
        <v>745.52</v>
      </c>
      <c r="D86" s="288">
        <v>749.08</v>
      </c>
      <c r="E86" s="288">
        <v>764.38</v>
      </c>
      <c r="F86" s="288">
        <v>771.79</v>
      </c>
      <c r="G86" s="288">
        <v>779.71</v>
      </c>
      <c r="H86" s="288">
        <v>784.24</v>
      </c>
      <c r="I86" s="288">
        <v>795.08</v>
      </c>
      <c r="J86" s="288">
        <v>804.61</v>
      </c>
      <c r="K86" s="288">
        <v>809.66</v>
      </c>
      <c r="L86" s="288">
        <v>814.45</v>
      </c>
      <c r="M86" s="288">
        <v>814.08</v>
      </c>
      <c r="N86" s="288">
        <v>803.56</v>
      </c>
      <c r="O86" s="288">
        <v>786.67</v>
      </c>
      <c r="P86" s="299">
        <f t="shared" ref="P86" si="39">+N86/N84-1</f>
        <v>9.5634152327452204E-2</v>
      </c>
    </row>
    <row r="87" spans="1:16" ht="13.2" thickBot="1">
      <c r="A87" s="292"/>
      <c r="B87" s="294"/>
      <c r="C87" s="289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89"/>
      <c r="P87" s="300"/>
    </row>
    <row r="88" spans="1:16">
      <c r="A88" s="291">
        <v>1994</v>
      </c>
      <c r="B88" s="293"/>
      <c r="C88" s="288">
        <v>816.15</v>
      </c>
      <c r="D88" s="288">
        <v>817.67</v>
      </c>
      <c r="E88" s="288">
        <v>819.76</v>
      </c>
      <c r="F88" s="288">
        <v>829.87</v>
      </c>
      <c r="G88" s="288">
        <v>841.43</v>
      </c>
      <c r="H88" s="288">
        <v>830.94</v>
      </c>
      <c r="I88" s="288">
        <v>819.06</v>
      </c>
      <c r="J88" s="288">
        <v>814.82</v>
      </c>
      <c r="K88" s="288">
        <v>830.06</v>
      </c>
      <c r="L88" s="288">
        <v>839.32</v>
      </c>
      <c r="M88" s="288">
        <v>830.03</v>
      </c>
      <c r="N88" s="288">
        <v>829.37</v>
      </c>
      <c r="O88" s="288">
        <v>826.56</v>
      </c>
      <c r="P88" s="299">
        <f t="shared" ref="P88" si="40">+N88/N86-1</f>
        <v>3.2119567922743952E-2</v>
      </c>
    </row>
    <row r="89" spans="1:16" ht="13.2" thickBot="1">
      <c r="A89" s="292"/>
      <c r="B89" s="294"/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  <c r="P89" s="300"/>
    </row>
    <row r="90" spans="1:16">
      <c r="A90" s="291">
        <v>1995</v>
      </c>
      <c r="B90" s="293"/>
      <c r="C90" s="288">
        <v>846.63</v>
      </c>
      <c r="D90" s="288">
        <v>850.9</v>
      </c>
      <c r="E90" s="288">
        <v>865.83</v>
      </c>
      <c r="F90" s="288">
        <v>873.39</v>
      </c>
      <c r="G90" s="288">
        <v>876.95</v>
      </c>
      <c r="H90" s="288">
        <v>874.86</v>
      </c>
      <c r="I90" s="288">
        <v>893.22</v>
      </c>
      <c r="J90" s="288">
        <v>935.1</v>
      </c>
      <c r="K90" s="288">
        <v>964.17</v>
      </c>
      <c r="L90" s="288">
        <v>984.96</v>
      </c>
      <c r="M90" s="297">
        <v>1000.58</v>
      </c>
      <c r="N90" s="288">
        <v>988.15</v>
      </c>
      <c r="O90" s="288">
        <v>912.78</v>
      </c>
      <c r="P90" s="299">
        <f t="shared" ref="P90" si="41">+N90/N88-1</f>
        <v>0.1914465196474433</v>
      </c>
    </row>
    <row r="91" spans="1:16" ht="13.2" thickBot="1">
      <c r="A91" s="292"/>
      <c r="B91" s="294"/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98"/>
      <c r="N91" s="289"/>
      <c r="O91" s="289"/>
      <c r="P91" s="300"/>
    </row>
    <row r="92" spans="1:16">
      <c r="A92" s="291">
        <v>1996</v>
      </c>
      <c r="B92" s="293"/>
      <c r="C92" s="297">
        <v>1011.19</v>
      </c>
      <c r="D92" s="297">
        <v>1029.6400000000001</v>
      </c>
      <c r="E92" s="297">
        <v>1044.98</v>
      </c>
      <c r="F92" s="297">
        <v>1050.93</v>
      </c>
      <c r="G92" s="297">
        <v>1066.24</v>
      </c>
      <c r="H92" s="297">
        <v>1071.96</v>
      </c>
      <c r="I92" s="297">
        <v>1064.0999999999999</v>
      </c>
      <c r="J92" s="297">
        <v>1044.8399999999999</v>
      </c>
      <c r="K92" s="297">
        <v>1040.8399999999999</v>
      </c>
      <c r="L92" s="297">
        <v>1015.78</v>
      </c>
      <c r="M92" s="288">
        <v>998.18</v>
      </c>
      <c r="N92" s="297">
        <v>1000.79</v>
      </c>
      <c r="O92" s="297">
        <v>1036.55</v>
      </c>
      <c r="P92" s="299">
        <f t="shared" ref="P92" si="42">+N92/N90-1</f>
        <v>1.2791580225674171E-2</v>
      </c>
    </row>
    <row r="93" spans="1:16" ht="13.2" thickBot="1">
      <c r="A93" s="292"/>
      <c r="B93" s="294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89"/>
      <c r="N93" s="298"/>
      <c r="O93" s="298"/>
      <c r="P93" s="300"/>
    </row>
    <row r="94" spans="1:16">
      <c r="A94" s="291">
        <v>1997</v>
      </c>
      <c r="B94" s="293"/>
      <c r="C94" s="297">
        <v>1027.06</v>
      </c>
      <c r="D94" s="297">
        <v>1074.24</v>
      </c>
      <c r="E94" s="297">
        <v>1062.1600000000001</v>
      </c>
      <c r="F94" s="297">
        <v>1060.6500000000001</v>
      </c>
      <c r="G94" s="297">
        <v>1075.18</v>
      </c>
      <c r="H94" s="297">
        <v>1082.3699999999999</v>
      </c>
      <c r="I94" s="297">
        <v>1102.4000000000001</v>
      </c>
      <c r="J94" s="297">
        <v>1132.7</v>
      </c>
      <c r="K94" s="297">
        <v>1222.49</v>
      </c>
      <c r="L94" s="297">
        <v>1262.8900000000001</v>
      </c>
      <c r="M94" s="297">
        <v>1294.56</v>
      </c>
      <c r="N94" s="297">
        <v>1296.7</v>
      </c>
      <c r="O94" s="297">
        <v>1141.08</v>
      </c>
      <c r="P94" s="299">
        <f t="shared" ref="P94" si="43">+N94/N92-1</f>
        <v>0.29567641563165115</v>
      </c>
    </row>
    <row r="95" spans="1:16" ht="13.2" thickBot="1">
      <c r="A95" s="292"/>
      <c r="B95" s="294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300"/>
    </row>
    <row r="96" spans="1:16">
      <c r="A96" s="291">
        <v>1998</v>
      </c>
      <c r="B96" s="293"/>
      <c r="C96" s="297">
        <v>1323.16</v>
      </c>
      <c r="D96" s="297">
        <v>1346.12</v>
      </c>
      <c r="E96" s="297">
        <v>1357.1</v>
      </c>
      <c r="F96" s="297">
        <v>1360.65</v>
      </c>
      <c r="G96" s="297">
        <v>1386.28</v>
      </c>
      <c r="H96" s="297">
        <v>1386.61</v>
      </c>
      <c r="I96" s="297">
        <v>1371.54</v>
      </c>
      <c r="J96" s="297">
        <v>1390.46</v>
      </c>
      <c r="K96" s="297">
        <v>1520.52</v>
      </c>
      <c r="L96" s="297">
        <v>1587.38</v>
      </c>
      <c r="M96" s="297">
        <v>1562.71</v>
      </c>
      <c r="N96" s="297">
        <v>1524.56</v>
      </c>
      <c r="O96" s="297">
        <v>1427.04</v>
      </c>
      <c r="P96" s="299">
        <f t="shared" ref="P96" si="44">+N96/N94-1</f>
        <v>0.17572298912624351</v>
      </c>
    </row>
    <row r="97" spans="1:16" ht="13.2" thickBot="1">
      <c r="A97" s="292"/>
      <c r="B97" s="294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300"/>
    </row>
    <row r="98" spans="1:16">
      <c r="A98" s="291">
        <v>1999</v>
      </c>
      <c r="B98" s="293"/>
      <c r="C98" s="297">
        <v>1570.01</v>
      </c>
      <c r="D98" s="297">
        <v>1567.07</v>
      </c>
      <c r="E98" s="297">
        <v>1550.15</v>
      </c>
      <c r="F98" s="297">
        <v>1574.67</v>
      </c>
      <c r="G98" s="297">
        <v>1641.33</v>
      </c>
      <c r="H98" s="297">
        <v>1693.99</v>
      </c>
      <c r="I98" s="297">
        <v>1818.63</v>
      </c>
      <c r="J98" s="297">
        <v>1876.93</v>
      </c>
      <c r="K98" s="297">
        <v>1975.64</v>
      </c>
      <c r="L98" s="297">
        <v>1978.71</v>
      </c>
      <c r="M98" s="297">
        <v>1944.64</v>
      </c>
      <c r="N98" s="297">
        <v>1888.46</v>
      </c>
      <c r="O98" s="297">
        <v>1758.58</v>
      </c>
      <c r="P98" s="299">
        <f t="shared" ref="P98" si="45">+N98/N96-1</f>
        <v>0.23869181927900507</v>
      </c>
    </row>
    <row r="99" spans="1:16" ht="13.2" thickBot="1">
      <c r="A99" s="292"/>
      <c r="B99" s="294"/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300"/>
    </row>
    <row r="100" spans="1:16">
      <c r="A100" s="291">
        <v>2000</v>
      </c>
      <c r="B100" s="293"/>
      <c r="C100" s="297">
        <v>1923.57</v>
      </c>
      <c r="D100" s="297">
        <v>1950.64</v>
      </c>
      <c r="E100" s="297">
        <v>1956.25</v>
      </c>
      <c r="F100" s="297">
        <v>1986.77</v>
      </c>
      <c r="G100" s="297">
        <v>2055.69</v>
      </c>
      <c r="H100" s="297">
        <v>2120.17</v>
      </c>
      <c r="I100" s="297">
        <v>2161.34</v>
      </c>
      <c r="J100" s="297">
        <v>2187.38</v>
      </c>
      <c r="K100" s="297">
        <v>2213.7600000000002</v>
      </c>
      <c r="L100" s="297">
        <v>2176.61</v>
      </c>
      <c r="M100" s="297">
        <v>2136.63</v>
      </c>
      <c r="N100" s="297">
        <v>2186.21</v>
      </c>
      <c r="O100" s="297">
        <v>2087.42</v>
      </c>
      <c r="P100" s="299">
        <f t="shared" ref="P100" si="46">+N100/N98-1</f>
        <v>0.15766815288647895</v>
      </c>
    </row>
    <row r="101" spans="1:16" ht="13.2" thickBot="1">
      <c r="A101" s="292"/>
      <c r="B101" s="294"/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300"/>
    </row>
    <row r="102" spans="1:16">
      <c r="A102" s="291">
        <v>2001</v>
      </c>
      <c r="B102" s="293"/>
      <c r="C102" s="297">
        <v>2241.4</v>
      </c>
      <c r="D102" s="297">
        <v>2243.42</v>
      </c>
      <c r="E102" s="297">
        <v>2278.7800000000002</v>
      </c>
      <c r="F102" s="297">
        <v>2323.1</v>
      </c>
      <c r="G102" s="297">
        <v>2346.9299999999998</v>
      </c>
      <c r="H102" s="297">
        <v>2305.66</v>
      </c>
      <c r="I102" s="297">
        <v>2304.2800000000002</v>
      </c>
      <c r="J102" s="297">
        <v>2288.9</v>
      </c>
      <c r="K102" s="297">
        <v>2328.23</v>
      </c>
      <c r="L102" s="297">
        <v>2320.65</v>
      </c>
      <c r="M102" s="297">
        <v>2310.4699999999998</v>
      </c>
      <c r="N102" s="297">
        <v>2306.9</v>
      </c>
      <c r="O102" s="297">
        <v>2299.77</v>
      </c>
      <c r="P102" s="299">
        <f t="shared" ref="P102" si="47">+N102/N100-1</f>
        <v>5.5205126680419658E-2</v>
      </c>
    </row>
    <row r="103" spans="1:16" ht="13.2" thickBot="1">
      <c r="A103" s="292"/>
      <c r="B103" s="294"/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300"/>
    </row>
    <row r="104" spans="1:16">
      <c r="A104" s="291">
        <v>2002</v>
      </c>
      <c r="B104" s="293"/>
      <c r="C104" s="297">
        <v>2274.96</v>
      </c>
      <c r="D104" s="297">
        <v>2286.6999999999998</v>
      </c>
      <c r="E104" s="297">
        <v>2282.33</v>
      </c>
      <c r="F104" s="297">
        <v>2263.11</v>
      </c>
      <c r="G104" s="297">
        <v>2310.2399999999998</v>
      </c>
      <c r="H104" s="297">
        <v>2364.25</v>
      </c>
      <c r="I104" s="297">
        <v>2506.7199999999998</v>
      </c>
      <c r="J104" s="297">
        <v>2647.22</v>
      </c>
      <c r="K104" s="297">
        <v>2751.23</v>
      </c>
      <c r="L104" s="297">
        <v>2827.86</v>
      </c>
      <c r="M104" s="297">
        <v>2726.66</v>
      </c>
      <c r="N104" s="297">
        <v>2814.89</v>
      </c>
      <c r="O104" s="297">
        <v>2507.96</v>
      </c>
      <c r="P104" s="299">
        <f t="shared" ref="P104" si="48">+N104/N102-1</f>
        <v>0.22020460358056249</v>
      </c>
    </row>
    <row r="105" spans="1:16" ht="13.2" thickBot="1">
      <c r="A105" s="292"/>
      <c r="B105" s="294"/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300"/>
    </row>
    <row r="106" spans="1:16">
      <c r="A106" s="291">
        <v>2003</v>
      </c>
      <c r="B106" s="293"/>
      <c r="C106" s="297">
        <v>2913</v>
      </c>
      <c r="D106" s="297">
        <v>2951.86</v>
      </c>
      <c r="E106" s="297">
        <v>2959.01</v>
      </c>
      <c r="F106" s="297">
        <v>2926.62</v>
      </c>
      <c r="G106" s="297">
        <v>2858.94</v>
      </c>
      <c r="H106" s="297">
        <v>2826.95</v>
      </c>
      <c r="I106" s="297">
        <v>2858.82</v>
      </c>
      <c r="J106" s="297">
        <v>2867.29</v>
      </c>
      <c r="K106" s="297">
        <v>2840.08</v>
      </c>
      <c r="L106" s="297">
        <v>2876.2</v>
      </c>
      <c r="M106" s="297">
        <v>2844.55</v>
      </c>
      <c r="N106" s="297">
        <v>2807.2</v>
      </c>
      <c r="O106" s="297">
        <v>2877.5</v>
      </c>
      <c r="P106" s="299">
        <f t="shared" ref="P106" si="49">+N106/N104-1</f>
        <v>-2.7319007137046603E-3</v>
      </c>
    </row>
    <row r="107" spans="1:16" ht="13.2" thickBot="1">
      <c r="A107" s="292"/>
      <c r="B107" s="294"/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300"/>
    </row>
    <row r="108" spans="1:16">
      <c r="A108" s="291">
        <v>2004</v>
      </c>
      <c r="B108" s="293"/>
      <c r="C108" s="297">
        <v>2749.14</v>
      </c>
      <c r="D108" s="297">
        <v>2717.94</v>
      </c>
      <c r="E108" s="297">
        <v>2670.8</v>
      </c>
      <c r="F108" s="297">
        <v>2639.6</v>
      </c>
      <c r="G108" s="297">
        <v>2719.43</v>
      </c>
      <c r="H108" s="297">
        <v>2716.56</v>
      </c>
      <c r="I108" s="297">
        <v>2653.32</v>
      </c>
      <c r="J108" s="297">
        <v>2598.59</v>
      </c>
      <c r="K108" s="297">
        <v>2552.7800000000002</v>
      </c>
      <c r="L108" s="297">
        <v>2580.6999999999998</v>
      </c>
      <c r="M108" s="297">
        <v>2530.19</v>
      </c>
      <c r="N108" s="297">
        <v>2411.37</v>
      </c>
      <c r="O108" s="297">
        <v>2626.22</v>
      </c>
      <c r="P108" s="299">
        <f t="shared" ref="P108" si="50">+N108/N106-1</f>
        <v>-0.14100527215730974</v>
      </c>
    </row>
    <row r="109" spans="1:16" ht="13.2" thickBot="1">
      <c r="A109" s="292"/>
      <c r="B109" s="294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300"/>
    </row>
    <row r="110" spans="1:16">
      <c r="A110" s="291">
        <v>2005</v>
      </c>
      <c r="B110" s="293"/>
      <c r="C110" s="297">
        <v>2362.96</v>
      </c>
      <c r="D110" s="297">
        <v>2340.4899999999998</v>
      </c>
      <c r="E110" s="297">
        <v>2353.71</v>
      </c>
      <c r="F110" s="297">
        <v>2350.0100000000002</v>
      </c>
      <c r="G110" s="297">
        <v>2339.2199999999998</v>
      </c>
      <c r="H110" s="297">
        <v>2331.79</v>
      </c>
      <c r="I110" s="297">
        <v>2323.38</v>
      </c>
      <c r="J110" s="297">
        <v>2306.19</v>
      </c>
      <c r="K110" s="297">
        <v>2294.52</v>
      </c>
      <c r="L110" s="297">
        <v>2292.5500000000002</v>
      </c>
      <c r="M110" s="297">
        <v>2279.85</v>
      </c>
      <c r="N110" s="297">
        <v>2278.91</v>
      </c>
      <c r="O110" s="297">
        <v>2320.77</v>
      </c>
      <c r="P110" s="299">
        <f t="shared" ref="P110" si="51">+N110/N108-1</f>
        <v>-5.493142902167647E-2</v>
      </c>
    </row>
    <row r="111" spans="1:16" ht="13.2" thickBot="1">
      <c r="A111" s="292"/>
      <c r="B111" s="294"/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300"/>
    </row>
    <row r="112" spans="1:16">
      <c r="A112" s="291">
        <v>2006</v>
      </c>
      <c r="B112" s="293"/>
      <c r="C112" s="297">
        <v>2273.66</v>
      </c>
      <c r="D112" s="297">
        <v>2256.2399999999998</v>
      </c>
      <c r="E112" s="297">
        <v>2262.36</v>
      </c>
      <c r="F112" s="297">
        <v>2334.29</v>
      </c>
      <c r="G112" s="297">
        <v>2417.9899999999998</v>
      </c>
      <c r="H112" s="297">
        <v>2542.2399999999998</v>
      </c>
      <c r="I112" s="297">
        <v>2511.7399999999998</v>
      </c>
      <c r="J112" s="297">
        <v>2389.65</v>
      </c>
      <c r="K112" s="297">
        <v>2398.88</v>
      </c>
      <c r="L112" s="297">
        <v>2364.29</v>
      </c>
      <c r="M112" s="297">
        <v>2290.46</v>
      </c>
      <c r="N112" s="297">
        <v>2261.34</v>
      </c>
      <c r="O112" s="297">
        <v>2357.98</v>
      </c>
      <c r="P112" s="299">
        <f t="shared" ref="P112" si="52">+N112/N110-1</f>
        <v>-7.7098261888357555E-3</v>
      </c>
    </row>
    <row r="113" spans="1:16" ht="13.2" thickBot="1">
      <c r="A113" s="292"/>
      <c r="B113" s="294"/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300"/>
    </row>
    <row r="114" spans="1:16">
      <c r="A114" s="291">
        <v>2007</v>
      </c>
      <c r="B114" s="293"/>
      <c r="C114" s="297">
        <v>2237.06</v>
      </c>
      <c r="D114" s="297">
        <v>2227.63</v>
      </c>
      <c r="E114" s="297">
        <v>2201.39</v>
      </c>
      <c r="F114" s="297">
        <v>2144.6</v>
      </c>
      <c r="G114" s="297">
        <v>2007.91</v>
      </c>
      <c r="H114" s="297">
        <v>1923.76</v>
      </c>
      <c r="I114" s="297">
        <v>1950.87</v>
      </c>
      <c r="J114" s="297">
        <v>2058.2800000000002</v>
      </c>
      <c r="K114" s="297">
        <v>2117.0500000000002</v>
      </c>
      <c r="L114" s="297">
        <v>2003.26</v>
      </c>
      <c r="M114" s="297">
        <v>2047.72</v>
      </c>
      <c r="N114" s="297">
        <v>2014.2</v>
      </c>
      <c r="O114" s="297">
        <v>2078.35</v>
      </c>
      <c r="P114" s="299">
        <f t="shared" ref="P114" si="53">+N114/N112-1</f>
        <v>-0.10928918252009878</v>
      </c>
    </row>
    <row r="115" spans="1:16" ht="13.2" thickBot="1">
      <c r="A115" s="292"/>
      <c r="B115" s="294"/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300"/>
    </row>
    <row r="116" spans="1:16">
      <c r="A116" s="291">
        <v>2008</v>
      </c>
      <c r="B116" s="293"/>
      <c r="C116" s="297">
        <v>1980.59</v>
      </c>
      <c r="D116" s="297">
        <v>1903.27</v>
      </c>
      <c r="E116" s="297">
        <v>1846.9</v>
      </c>
      <c r="F116" s="297">
        <v>1796.13</v>
      </c>
      <c r="G116" s="297">
        <v>1778.01</v>
      </c>
      <c r="H116" s="297">
        <v>1712.28</v>
      </c>
      <c r="I116" s="297">
        <v>1783.09</v>
      </c>
      <c r="J116" s="297">
        <v>1844.29</v>
      </c>
      <c r="K116" s="297">
        <v>2066.04</v>
      </c>
      <c r="L116" s="297">
        <v>2289.17</v>
      </c>
      <c r="M116" s="297">
        <v>2329.16</v>
      </c>
      <c r="N116" s="297">
        <v>2252.7199999999998</v>
      </c>
      <c r="O116" s="297">
        <v>1966.26</v>
      </c>
      <c r="P116" s="299">
        <f t="shared" ref="P116" si="54">+N116/N114-1</f>
        <v>0.11841922351305723</v>
      </c>
    </row>
    <row r="117" spans="1:16" ht="13.2" thickBot="1">
      <c r="A117" s="292"/>
      <c r="B117" s="294"/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300"/>
    </row>
    <row r="118" spans="1:16">
      <c r="A118" s="291">
        <v>2009</v>
      </c>
      <c r="B118" s="293"/>
      <c r="C118" s="297">
        <v>2252.98</v>
      </c>
      <c r="D118" s="297">
        <v>2513.7399999999998</v>
      </c>
      <c r="E118" s="297">
        <v>2477.21</v>
      </c>
      <c r="F118" s="297">
        <v>2379.36</v>
      </c>
      <c r="G118" s="297">
        <v>2229.9499999999998</v>
      </c>
      <c r="H118" s="297">
        <v>2090.04</v>
      </c>
      <c r="I118" s="297">
        <v>2052.6799999999998</v>
      </c>
      <c r="J118" s="297">
        <v>2018.97</v>
      </c>
      <c r="K118" s="297">
        <v>1980.77</v>
      </c>
      <c r="L118" s="297">
        <v>1904.86</v>
      </c>
      <c r="M118" s="297">
        <v>1973.57</v>
      </c>
      <c r="N118" s="297">
        <v>2017.05</v>
      </c>
      <c r="O118" s="297">
        <v>2156.29</v>
      </c>
      <c r="P118" s="299">
        <f>+N118/N116-1</f>
        <v>-0.1046157534003338</v>
      </c>
    </row>
    <row r="119" spans="1:16" ht="13.2" thickBot="1">
      <c r="A119" s="292"/>
      <c r="B119" s="294"/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300"/>
    </row>
    <row r="120" spans="1:16">
      <c r="A120" s="291">
        <v>2010</v>
      </c>
      <c r="B120" s="293"/>
      <c r="C120" s="297">
        <v>1978.19</v>
      </c>
      <c r="D120" s="297">
        <v>1952.89</v>
      </c>
      <c r="E120" s="288" t="s">
        <v>175</v>
      </c>
      <c r="F120" s="288" t="s">
        <v>175</v>
      </c>
      <c r="G120" s="288" t="s">
        <v>175</v>
      </c>
      <c r="H120" s="288" t="s">
        <v>175</v>
      </c>
      <c r="I120" s="288" t="s">
        <v>175</v>
      </c>
      <c r="J120" s="288" t="s">
        <v>175</v>
      </c>
      <c r="K120" s="288" t="s">
        <v>175</v>
      </c>
      <c r="L120" s="288" t="s">
        <v>175</v>
      </c>
      <c r="M120" s="288" t="s">
        <v>175</v>
      </c>
      <c r="N120" s="288" t="s">
        <v>175</v>
      </c>
    </row>
    <row r="121" spans="1:16" ht="13.2" thickBot="1">
      <c r="A121" s="301"/>
      <c r="B121" s="302"/>
      <c r="C121" s="298"/>
      <c r="D121" s="298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</row>
  </sheetData>
  <mergeCells count="958">
    <mergeCell ref="P108:P109"/>
    <mergeCell ref="P110:P111"/>
    <mergeCell ref="P112:P113"/>
    <mergeCell ref="P114:P115"/>
    <mergeCell ref="P116:P117"/>
    <mergeCell ref="P118:P119"/>
    <mergeCell ref="P96:P97"/>
    <mergeCell ref="P98:P99"/>
    <mergeCell ref="P100:P101"/>
    <mergeCell ref="P102:P103"/>
    <mergeCell ref="P104:P105"/>
    <mergeCell ref="P106:P107"/>
    <mergeCell ref="P84:P85"/>
    <mergeCell ref="P86:P87"/>
    <mergeCell ref="P88:P89"/>
    <mergeCell ref="P90:P91"/>
    <mergeCell ref="P92:P93"/>
    <mergeCell ref="P94:P95"/>
    <mergeCell ref="P72:P73"/>
    <mergeCell ref="P74:P75"/>
    <mergeCell ref="P76:P77"/>
    <mergeCell ref="P78:P79"/>
    <mergeCell ref="P80:P81"/>
    <mergeCell ref="P82:P83"/>
    <mergeCell ref="P60:P61"/>
    <mergeCell ref="P62:P63"/>
    <mergeCell ref="P64:P65"/>
    <mergeCell ref="P66:P67"/>
    <mergeCell ref="P68:P69"/>
    <mergeCell ref="P70:P71"/>
    <mergeCell ref="P48:P49"/>
    <mergeCell ref="P50:P51"/>
    <mergeCell ref="P52:P53"/>
    <mergeCell ref="P54:P55"/>
    <mergeCell ref="P56:P57"/>
    <mergeCell ref="P58:P59"/>
    <mergeCell ref="P36:P37"/>
    <mergeCell ref="P38:P39"/>
    <mergeCell ref="P40:P41"/>
    <mergeCell ref="P42:P43"/>
    <mergeCell ref="P44:P45"/>
    <mergeCell ref="P46:P47"/>
    <mergeCell ref="P24:P25"/>
    <mergeCell ref="P26:P27"/>
    <mergeCell ref="P28:P29"/>
    <mergeCell ref="P30:P31"/>
    <mergeCell ref="P32:P33"/>
    <mergeCell ref="P34:P35"/>
    <mergeCell ref="P12:P13"/>
    <mergeCell ref="P14:P15"/>
    <mergeCell ref="P16:P17"/>
    <mergeCell ref="P18:P19"/>
    <mergeCell ref="P20:P21"/>
    <mergeCell ref="P22:P23"/>
    <mergeCell ref="J120:J121"/>
    <mergeCell ref="K120:K121"/>
    <mergeCell ref="L120:L121"/>
    <mergeCell ref="M120:M121"/>
    <mergeCell ref="N120:N121"/>
    <mergeCell ref="J116:J117"/>
    <mergeCell ref="K116:K117"/>
    <mergeCell ref="L116:L117"/>
    <mergeCell ref="M116:M117"/>
    <mergeCell ref="M114:M115"/>
    <mergeCell ref="N114:N115"/>
    <mergeCell ref="O114:O115"/>
    <mergeCell ref="J112:J113"/>
    <mergeCell ref="K112:K113"/>
    <mergeCell ref="L112:L113"/>
    <mergeCell ref="M112:M113"/>
    <mergeCell ref="N112:N113"/>
    <mergeCell ref="O112:O113"/>
    <mergeCell ref="P2:P3"/>
    <mergeCell ref="P4:P5"/>
    <mergeCell ref="P6:P7"/>
    <mergeCell ref="P8:P9"/>
    <mergeCell ref="P10:P11"/>
    <mergeCell ref="O118:O119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I118:I119"/>
    <mergeCell ref="J118:J119"/>
    <mergeCell ref="K118:K119"/>
    <mergeCell ref="L118:L119"/>
    <mergeCell ref="M118:M119"/>
    <mergeCell ref="N118:N119"/>
    <mergeCell ref="N116:N117"/>
    <mergeCell ref="O116:O117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H116:H117"/>
    <mergeCell ref="I116:I117"/>
    <mergeCell ref="A116:A117"/>
    <mergeCell ref="B116:B117"/>
    <mergeCell ref="C116:C117"/>
    <mergeCell ref="D116:D117"/>
    <mergeCell ref="E116:E117"/>
    <mergeCell ref="F116:F117"/>
    <mergeCell ref="G116:G117"/>
    <mergeCell ref="G114:G115"/>
    <mergeCell ref="H114:H115"/>
    <mergeCell ref="N106:N107"/>
    <mergeCell ref="L110:L111"/>
    <mergeCell ref="M110:M111"/>
    <mergeCell ref="N110:N111"/>
    <mergeCell ref="A110:A111"/>
    <mergeCell ref="B110:B111"/>
    <mergeCell ref="C110:C111"/>
    <mergeCell ref="I114:I115"/>
    <mergeCell ref="J114:J115"/>
    <mergeCell ref="K114:K115"/>
    <mergeCell ref="L114:L115"/>
    <mergeCell ref="A114:A115"/>
    <mergeCell ref="B114:B115"/>
    <mergeCell ref="C114:C115"/>
    <mergeCell ref="D114:D115"/>
    <mergeCell ref="E114:E115"/>
    <mergeCell ref="F114:F115"/>
    <mergeCell ref="A112:A113"/>
    <mergeCell ref="B112:B113"/>
    <mergeCell ref="C112:C113"/>
    <mergeCell ref="D112:D113"/>
    <mergeCell ref="E112:E113"/>
    <mergeCell ref="F112:F113"/>
    <mergeCell ref="G112:G113"/>
    <mergeCell ref="M108:M109"/>
    <mergeCell ref="I112:I113"/>
    <mergeCell ref="D110:D111"/>
    <mergeCell ref="E110:E111"/>
    <mergeCell ref="F110:F111"/>
    <mergeCell ref="G110:G111"/>
    <mergeCell ref="H110:H111"/>
    <mergeCell ref="H108:H109"/>
    <mergeCell ref="M106:M107"/>
    <mergeCell ref="H112:H113"/>
    <mergeCell ref="O110:O111"/>
    <mergeCell ref="I110:I111"/>
    <mergeCell ref="J110:J111"/>
    <mergeCell ref="K110:K111"/>
    <mergeCell ref="G108:G109"/>
    <mergeCell ref="G106:G107"/>
    <mergeCell ref="H106:H107"/>
    <mergeCell ref="A106:A107"/>
    <mergeCell ref="B106:B107"/>
    <mergeCell ref="C106:C107"/>
    <mergeCell ref="D106:D107"/>
    <mergeCell ref="E106:E107"/>
    <mergeCell ref="F106:F107"/>
    <mergeCell ref="O106:O107"/>
    <mergeCell ref="I106:I107"/>
    <mergeCell ref="J106:J107"/>
    <mergeCell ref="K106:K107"/>
    <mergeCell ref="L106:L107"/>
    <mergeCell ref="N108:N109"/>
    <mergeCell ref="O108:O109"/>
    <mergeCell ref="I108:I109"/>
    <mergeCell ref="J108:J109"/>
    <mergeCell ref="K108:K109"/>
    <mergeCell ref="L108:L109"/>
    <mergeCell ref="C102:C103"/>
    <mergeCell ref="D102:D103"/>
    <mergeCell ref="E102:E103"/>
    <mergeCell ref="F102:F103"/>
    <mergeCell ref="A108:A109"/>
    <mergeCell ref="B108:B109"/>
    <mergeCell ref="C108:C109"/>
    <mergeCell ref="D108:D109"/>
    <mergeCell ref="E108:E109"/>
    <mergeCell ref="F108:F109"/>
    <mergeCell ref="J104:J105"/>
    <mergeCell ref="K104:K105"/>
    <mergeCell ref="L104:L105"/>
    <mergeCell ref="M104:M105"/>
    <mergeCell ref="N104:N105"/>
    <mergeCell ref="O104:O105"/>
    <mergeCell ref="O102:O103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I102:I103"/>
    <mergeCell ref="J102:J103"/>
    <mergeCell ref="K102:K103"/>
    <mergeCell ref="L102:L103"/>
    <mergeCell ref="M102:M103"/>
    <mergeCell ref="N102:N103"/>
    <mergeCell ref="A102:A103"/>
    <mergeCell ref="B102:B103"/>
    <mergeCell ref="A98:A99"/>
    <mergeCell ref="B98:B99"/>
    <mergeCell ref="C98:C99"/>
    <mergeCell ref="D98:D99"/>
    <mergeCell ref="E98:E99"/>
    <mergeCell ref="I100:I101"/>
    <mergeCell ref="J100:J101"/>
    <mergeCell ref="K100:K101"/>
    <mergeCell ref="L100:L101"/>
    <mergeCell ref="L94:L95"/>
    <mergeCell ref="M94:M95"/>
    <mergeCell ref="N94:N95"/>
    <mergeCell ref="A94:A95"/>
    <mergeCell ref="B94:B95"/>
    <mergeCell ref="C94:C95"/>
    <mergeCell ref="G102:G103"/>
    <mergeCell ref="H102:H103"/>
    <mergeCell ref="H100:H101"/>
    <mergeCell ref="M98:M99"/>
    <mergeCell ref="N98:N99"/>
    <mergeCell ref="A100:A101"/>
    <mergeCell ref="B100:B101"/>
    <mergeCell ref="C100:C101"/>
    <mergeCell ref="D100:D101"/>
    <mergeCell ref="E100:E101"/>
    <mergeCell ref="F100:F101"/>
    <mergeCell ref="G100:G101"/>
    <mergeCell ref="G98:G99"/>
    <mergeCell ref="H98:H99"/>
    <mergeCell ref="I98:I99"/>
    <mergeCell ref="J98:J99"/>
    <mergeCell ref="K98:K99"/>
    <mergeCell ref="L98:L99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F98:F99"/>
    <mergeCell ref="N100:N101"/>
    <mergeCell ref="O100:O101"/>
    <mergeCell ref="N96:N97"/>
    <mergeCell ref="O96:O97"/>
    <mergeCell ref="O98:O99"/>
    <mergeCell ref="M100:M101"/>
    <mergeCell ref="D94:D95"/>
    <mergeCell ref="E94:E95"/>
    <mergeCell ref="F94:F95"/>
    <mergeCell ref="G94:G95"/>
    <mergeCell ref="H94:H95"/>
    <mergeCell ref="H92:H93"/>
    <mergeCell ref="M90:M91"/>
    <mergeCell ref="N90:N91"/>
    <mergeCell ref="O90:O91"/>
    <mergeCell ref="I90:I91"/>
    <mergeCell ref="J90:J91"/>
    <mergeCell ref="K90:K91"/>
    <mergeCell ref="L90:L91"/>
    <mergeCell ref="N92:N93"/>
    <mergeCell ref="O92:O93"/>
    <mergeCell ref="I92:I93"/>
    <mergeCell ref="J92:J93"/>
    <mergeCell ref="K92:K93"/>
    <mergeCell ref="L92:L93"/>
    <mergeCell ref="M92:M93"/>
    <mergeCell ref="O94:O95"/>
    <mergeCell ref="I94:I95"/>
    <mergeCell ref="J94:J95"/>
    <mergeCell ref="K94:K95"/>
    <mergeCell ref="G92:G93"/>
    <mergeCell ref="G90:G91"/>
    <mergeCell ref="H90:H91"/>
    <mergeCell ref="A90:A91"/>
    <mergeCell ref="B90:B91"/>
    <mergeCell ref="C90:C91"/>
    <mergeCell ref="D90:D91"/>
    <mergeCell ref="E90:E91"/>
    <mergeCell ref="F90:F91"/>
    <mergeCell ref="C86:C87"/>
    <mergeCell ref="D86:D87"/>
    <mergeCell ref="E86:E87"/>
    <mergeCell ref="F86:F87"/>
    <mergeCell ref="A92:A93"/>
    <mergeCell ref="B92:B93"/>
    <mergeCell ref="C92:C93"/>
    <mergeCell ref="D92:D93"/>
    <mergeCell ref="E92:E93"/>
    <mergeCell ref="F92:F93"/>
    <mergeCell ref="J88:J89"/>
    <mergeCell ref="K88:K89"/>
    <mergeCell ref="L88:L89"/>
    <mergeCell ref="M88:M89"/>
    <mergeCell ref="N88:N89"/>
    <mergeCell ref="O88:O89"/>
    <mergeCell ref="O86:O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I86:I87"/>
    <mergeCell ref="J86:J87"/>
    <mergeCell ref="K86:K87"/>
    <mergeCell ref="L86:L87"/>
    <mergeCell ref="M86:M87"/>
    <mergeCell ref="N86:N87"/>
    <mergeCell ref="A86:A87"/>
    <mergeCell ref="B86:B87"/>
    <mergeCell ref="A82:A83"/>
    <mergeCell ref="B82:B83"/>
    <mergeCell ref="C82:C83"/>
    <mergeCell ref="D82:D83"/>
    <mergeCell ref="E82:E83"/>
    <mergeCell ref="I84:I85"/>
    <mergeCell ref="J84:J85"/>
    <mergeCell ref="K84:K85"/>
    <mergeCell ref="L84:L85"/>
    <mergeCell ref="L78:L79"/>
    <mergeCell ref="M78:M79"/>
    <mergeCell ref="N78:N79"/>
    <mergeCell ref="A78:A79"/>
    <mergeCell ref="B78:B79"/>
    <mergeCell ref="C78:C79"/>
    <mergeCell ref="G86:G87"/>
    <mergeCell ref="H86:H87"/>
    <mergeCell ref="H84:H85"/>
    <mergeCell ref="M82:M83"/>
    <mergeCell ref="N82:N83"/>
    <mergeCell ref="A84:A85"/>
    <mergeCell ref="B84:B85"/>
    <mergeCell ref="C84:C85"/>
    <mergeCell ref="D84:D85"/>
    <mergeCell ref="E84:E85"/>
    <mergeCell ref="F84:F85"/>
    <mergeCell ref="G84:G85"/>
    <mergeCell ref="G82:G83"/>
    <mergeCell ref="H82:H83"/>
    <mergeCell ref="I82:I83"/>
    <mergeCell ref="J82:J83"/>
    <mergeCell ref="K82:K83"/>
    <mergeCell ref="L82:L83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L80:L81"/>
    <mergeCell ref="M80:M81"/>
    <mergeCell ref="F82:F83"/>
    <mergeCell ref="N84:N85"/>
    <mergeCell ref="O84:O85"/>
    <mergeCell ref="N80:N81"/>
    <mergeCell ref="O80:O81"/>
    <mergeCell ref="O82:O83"/>
    <mergeCell ref="M84:M85"/>
    <mergeCell ref="D78:D79"/>
    <mergeCell ref="E78:E79"/>
    <mergeCell ref="F78:F79"/>
    <mergeCell ref="G78:G79"/>
    <mergeCell ref="H78:H79"/>
    <mergeCell ref="H76:H77"/>
    <mergeCell ref="M74:M75"/>
    <mergeCell ref="N74:N75"/>
    <mergeCell ref="O74:O75"/>
    <mergeCell ref="I74:I75"/>
    <mergeCell ref="J74:J75"/>
    <mergeCell ref="K74:K75"/>
    <mergeCell ref="L74:L75"/>
    <mergeCell ref="N76:N77"/>
    <mergeCell ref="O76:O77"/>
    <mergeCell ref="I76:I77"/>
    <mergeCell ref="J76:J77"/>
    <mergeCell ref="K76:K77"/>
    <mergeCell ref="L76:L77"/>
    <mergeCell ref="M76:M77"/>
    <mergeCell ref="O78:O79"/>
    <mergeCell ref="I78:I79"/>
    <mergeCell ref="J78:J79"/>
    <mergeCell ref="K78:K79"/>
    <mergeCell ref="G76:G77"/>
    <mergeCell ref="G74:G75"/>
    <mergeCell ref="H74:H75"/>
    <mergeCell ref="A74:A75"/>
    <mergeCell ref="B74:B75"/>
    <mergeCell ref="C74:C75"/>
    <mergeCell ref="D74:D75"/>
    <mergeCell ref="E74:E75"/>
    <mergeCell ref="F74:F75"/>
    <mergeCell ref="C70:C71"/>
    <mergeCell ref="D70:D71"/>
    <mergeCell ref="E70:E71"/>
    <mergeCell ref="F70:F71"/>
    <mergeCell ref="A76:A77"/>
    <mergeCell ref="B76:B77"/>
    <mergeCell ref="C76:C77"/>
    <mergeCell ref="D76:D77"/>
    <mergeCell ref="E76:E77"/>
    <mergeCell ref="F76:F77"/>
    <mergeCell ref="J72:J73"/>
    <mergeCell ref="K72:K73"/>
    <mergeCell ref="L72:L73"/>
    <mergeCell ref="M72:M73"/>
    <mergeCell ref="N72:N73"/>
    <mergeCell ref="O72:O73"/>
    <mergeCell ref="O70:O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I70:I71"/>
    <mergeCell ref="J70:J71"/>
    <mergeCell ref="K70:K71"/>
    <mergeCell ref="L70:L71"/>
    <mergeCell ref="M70:M71"/>
    <mergeCell ref="N70:N71"/>
    <mergeCell ref="A70:A71"/>
    <mergeCell ref="B70:B71"/>
    <mergeCell ref="A66:A67"/>
    <mergeCell ref="B66:B67"/>
    <mergeCell ref="C66:C67"/>
    <mergeCell ref="D66:D67"/>
    <mergeCell ref="E66:E67"/>
    <mergeCell ref="I68:I69"/>
    <mergeCell ref="J68:J69"/>
    <mergeCell ref="K68:K69"/>
    <mergeCell ref="L68:L69"/>
    <mergeCell ref="L62:L63"/>
    <mergeCell ref="M62:M63"/>
    <mergeCell ref="N62:N63"/>
    <mergeCell ref="A62:A63"/>
    <mergeCell ref="B62:B63"/>
    <mergeCell ref="C62:C63"/>
    <mergeCell ref="G70:G71"/>
    <mergeCell ref="H70:H71"/>
    <mergeCell ref="H68:H69"/>
    <mergeCell ref="M66:M67"/>
    <mergeCell ref="N66:N67"/>
    <mergeCell ref="A68:A69"/>
    <mergeCell ref="B68:B69"/>
    <mergeCell ref="C68:C69"/>
    <mergeCell ref="D68:D69"/>
    <mergeCell ref="E68:E69"/>
    <mergeCell ref="F68:F69"/>
    <mergeCell ref="G68:G69"/>
    <mergeCell ref="G66:G67"/>
    <mergeCell ref="H66:H67"/>
    <mergeCell ref="I66:I67"/>
    <mergeCell ref="J66:J67"/>
    <mergeCell ref="K66:K67"/>
    <mergeCell ref="L66:L67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F66:F67"/>
    <mergeCell ref="N68:N69"/>
    <mergeCell ref="O68:O69"/>
    <mergeCell ref="N64:N65"/>
    <mergeCell ref="O64:O65"/>
    <mergeCell ref="O66:O67"/>
    <mergeCell ref="M68:M69"/>
    <mergeCell ref="D62:D63"/>
    <mergeCell ref="E62:E63"/>
    <mergeCell ref="F62:F63"/>
    <mergeCell ref="G62:G63"/>
    <mergeCell ref="H62:H63"/>
    <mergeCell ref="H60:H61"/>
    <mergeCell ref="M58:M59"/>
    <mergeCell ref="N58:N59"/>
    <mergeCell ref="O58:O59"/>
    <mergeCell ref="I58:I59"/>
    <mergeCell ref="J58:J59"/>
    <mergeCell ref="K58:K59"/>
    <mergeCell ref="L58:L59"/>
    <mergeCell ref="N60:N61"/>
    <mergeCell ref="O60:O61"/>
    <mergeCell ref="I60:I61"/>
    <mergeCell ref="J60:J61"/>
    <mergeCell ref="K60:K61"/>
    <mergeCell ref="L60:L61"/>
    <mergeCell ref="M60:M61"/>
    <mergeCell ref="O62:O63"/>
    <mergeCell ref="I62:I63"/>
    <mergeCell ref="J62:J63"/>
    <mergeCell ref="K62:K63"/>
    <mergeCell ref="G60:G61"/>
    <mergeCell ref="G58:G59"/>
    <mergeCell ref="H58:H59"/>
    <mergeCell ref="A58:A59"/>
    <mergeCell ref="B58:B59"/>
    <mergeCell ref="C58:C59"/>
    <mergeCell ref="D58:D59"/>
    <mergeCell ref="E58:E59"/>
    <mergeCell ref="F58:F59"/>
    <mergeCell ref="C54:C55"/>
    <mergeCell ref="D54:D55"/>
    <mergeCell ref="E54:E55"/>
    <mergeCell ref="F54:F55"/>
    <mergeCell ref="A60:A61"/>
    <mergeCell ref="B60:B61"/>
    <mergeCell ref="C60:C61"/>
    <mergeCell ref="D60:D61"/>
    <mergeCell ref="E60:E61"/>
    <mergeCell ref="F60:F61"/>
    <mergeCell ref="J56:J57"/>
    <mergeCell ref="K56:K57"/>
    <mergeCell ref="L56:L57"/>
    <mergeCell ref="M56:M57"/>
    <mergeCell ref="N56:N57"/>
    <mergeCell ref="O56:O57"/>
    <mergeCell ref="O54:O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I54:I55"/>
    <mergeCell ref="J54:J55"/>
    <mergeCell ref="K54:K55"/>
    <mergeCell ref="L54:L55"/>
    <mergeCell ref="M54:M55"/>
    <mergeCell ref="N54:N55"/>
    <mergeCell ref="A54:A55"/>
    <mergeCell ref="B54:B55"/>
    <mergeCell ref="A50:A51"/>
    <mergeCell ref="B50:B51"/>
    <mergeCell ref="C50:C51"/>
    <mergeCell ref="D50:D51"/>
    <mergeCell ref="E50:E51"/>
    <mergeCell ref="I52:I53"/>
    <mergeCell ref="J52:J53"/>
    <mergeCell ref="K52:K53"/>
    <mergeCell ref="L52:L53"/>
    <mergeCell ref="L46:L47"/>
    <mergeCell ref="M46:M47"/>
    <mergeCell ref="N46:N47"/>
    <mergeCell ref="A46:A47"/>
    <mergeCell ref="B46:B47"/>
    <mergeCell ref="C46:C47"/>
    <mergeCell ref="G54:G55"/>
    <mergeCell ref="H54:H55"/>
    <mergeCell ref="H52:H53"/>
    <mergeCell ref="M50:M51"/>
    <mergeCell ref="N50:N51"/>
    <mergeCell ref="A52:A53"/>
    <mergeCell ref="B52:B53"/>
    <mergeCell ref="C52:C53"/>
    <mergeCell ref="D52:D53"/>
    <mergeCell ref="E52:E53"/>
    <mergeCell ref="F52:F53"/>
    <mergeCell ref="G52:G53"/>
    <mergeCell ref="G50:G51"/>
    <mergeCell ref="H50:H51"/>
    <mergeCell ref="I50:I51"/>
    <mergeCell ref="J50:J51"/>
    <mergeCell ref="K50:K51"/>
    <mergeCell ref="L50:L51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F50:F51"/>
    <mergeCell ref="N52:N53"/>
    <mergeCell ref="O52:O53"/>
    <mergeCell ref="N48:N49"/>
    <mergeCell ref="O48:O49"/>
    <mergeCell ref="O50:O51"/>
    <mergeCell ref="M52:M53"/>
    <mergeCell ref="D46:D47"/>
    <mergeCell ref="E46:E47"/>
    <mergeCell ref="F46:F47"/>
    <mergeCell ref="G46:G47"/>
    <mergeCell ref="H46:H47"/>
    <mergeCell ref="H44:H45"/>
    <mergeCell ref="M42:M43"/>
    <mergeCell ref="N42:N43"/>
    <mergeCell ref="O42:O43"/>
    <mergeCell ref="I42:I43"/>
    <mergeCell ref="J42:J43"/>
    <mergeCell ref="K42:K43"/>
    <mergeCell ref="L42:L43"/>
    <mergeCell ref="N44:N45"/>
    <mergeCell ref="O44:O45"/>
    <mergeCell ref="I44:I45"/>
    <mergeCell ref="J44:J45"/>
    <mergeCell ref="K44:K45"/>
    <mergeCell ref="L44:L45"/>
    <mergeCell ref="M44:M45"/>
    <mergeCell ref="O46:O47"/>
    <mergeCell ref="I46:I47"/>
    <mergeCell ref="J46:J47"/>
    <mergeCell ref="K46:K47"/>
    <mergeCell ref="G44:G45"/>
    <mergeCell ref="G42:G43"/>
    <mergeCell ref="H42:H43"/>
    <mergeCell ref="A42:A43"/>
    <mergeCell ref="B42:B43"/>
    <mergeCell ref="C42:C43"/>
    <mergeCell ref="D42:D43"/>
    <mergeCell ref="E42:E43"/>
    <mergeCell ref="F42:F43"/>
    <mergeCell ref="C38:C39"/>
    <mergeCell ref="D38:D39"/>
    <mergeCell ref="E38:E39"/>
    <mergeCell ref="F38:F39"/>
    <mergeCell ref="A44:A45"/>
    <mergeCell ref="B44:B45"/>
    <mergeCell ref="C44:C45"/>
    <mergeCell ref="D44:D45"/>
    <mergeCell ref="E44:E45"/>
    <mergeCell ref="F44:F45"/>
    <mergeCell ref="J40:J41"/>
    <mergeCell ref="K40:K41"/>
    <mergeCell ref="L40:L41"/>
    <mergeCell ref="M40:M41"/>
    <mergeCell ref="N40:N41"/>
    <mergeCell ref="O40:O41"/>
    <mergeCell ref="O38:O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I38:I39"/>
    <mergeCell ref="J38:J39"/>
    <mergeCell ref="K38:K39"/>
    <mergeCell ref="L38:L39"/>
    <mergeCell ref="M38:M39"/>
    <mergeCell ref="N38:N39"/>
    <mergeCell ref="A38:A39"/>
    <mergeCell ref="B38:B39"/>
    <mergeCell ref="A34:A35"/>
    <mergeCell ref="B34:B35"/>
    <mergeCell ref="C34:C35"/>
    <mergeCell ref="D34:D35"/>
    <mergeCell ref="E34:E35"/>
    <mergeCell ref="I36:I37"/>
    <mergeCell ref="J36:J37"/>
    <mergeCell ref="K36:K37"/>
    <mergeCell ref="L36:L37"/>
    <mergeCell ref="L30:L31"/>
    <mergeCell ref="M30:M31"/>
    <mergeCell ref="N30:N31"/>
    <mergeCell ref="A30:A31"/>
    <mergeCell ref="B30:B31"/>
    <mergeCell ref="C30:C31"/>
    <mergeCell ref="G38:G39"/>
    <mergeCell ref="H38:H39"/>
    <mergeCell ref="H36:H37"/>
    <mergeCell ref="M34:M35"/>
    <mergeCell ref="N34:N35"/>
    <mergeCell ref="A36:A37"/>
    <mergeCell ref="B36:B37"/>
    <mergeCell ref="C36:C37"/>
    <mergeCell ref="D36:D37"/>
    <mergeCell ref="E36:E37"/>
    <mergeCell ref="F36:F37"/>
    <mergeCell ref="G36:G37"/>
    <mergeCell ref="G34:G35"/>
    <mergeCell ref="H34:H35"/>
    <mergeCell ref="I34:I35"/>
    <mergeCell ref="J34:J35"/>
    <mergeCell ref="K34:K35"/>
    <mergeCell ref="L34:L35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F34:F35"/>
    <mergeCell ref="N36:N37"/>
    <mergeCell ref="O36:O37"/>
    <mergeCell ref="N32:N33"/>
    <mergeCell ref="O32:O33"/>
    <mergeCell ref="O34:O35"/>
    <mergeCell ref="M36:M37"/>
    <mergeCell ref="D30:D31"/>
    <mergeCell ref="E30:E31"/>
    <mergeCell ref="F30:F31"/>
    <mergeCell ref="G30:G31"/>
    <mergeCell ref="H30:H31"/>
    <mergeCell ref="H28:H29"/>
    <mergeCell ref="M26:M27"/>
    <mergeCell ref="N26:N27"/>
    <mergeCell ref="O26:O27"/>
    <mergeCell ref="I26:I27"/>
    <mergeCell ref="J26:J27"/>
    <mergeCell ref="K26:K27"/>
    <mergeCell ref="L26:L27"/>
    <mergeCell ref="N28:N29"/>
    <mergeCell ref="O28:O29"/>
    <mergeCell ref="I28:I29"/>
    <mergeCell ref="J28:J29"/>
    <mergeCell ref="K28:K29"/>
    <mergeCell ref="L28:L29"/>
    <mergeCell ref="M28:M29"/>
    <mergeCell ref="O30:O31"/>
    <mergeCell ref="I30:I31"/>
    <mergeCell ref="J30:J31"/>
    <mergeCell ref="K30:K31"/>
    <mergeCell ref="G28:G29"/>
    <mergeCell ref="G26:G27"/>
    <mergeCell ref="H26:H27"/>
    <mergeCell ref="A26:A27"/>
    <mergeCell ref="B26:B27"/>
    <mergeCell ref="C26:C27"/>
    <mergeCell ref="D26:D27"/>
    <mergeCell ref="E26:E27"/>
    <mergeCell ref="F26:F27"/>
    <mergeCell ref="C22:C23"/>
    <mergeCell ref="D22:D23"/>
    <mergeCell ref="E22:E23"/>
    <mergeCell ref="F22:F23"/>
    <mergeCell ref="A28:A29"/>
    <mergeCell ref="B28:B29"/>
    <mergeCell ref="C28:C29"/>
    <mergeCell ref="D28:D29"/>
    <mergeCell ref="E28:E29"/>
    <mergeCell ref="F28:F29"/>
    <mergeCell ref="J24:J25"/>
    <mergeCell ref="K24:K25"/>
    <mergeCell ref="L24:L25"/>
    <mergeCell ref="M24:M25"/>
    <mergeCell ref="N24:N25"/>
    <mergeCell ref="O24:O25"/>
    <mergeCell ref="O22:O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I22:I23"/>
    <mergeCell ref="J22:J23"/>
    <mergeCell ref="K22:K23"/>
    <mergeCell ref="L22:L23"/>
    <mergeCell ref="M22:M23"/>
    <mergeCell ref="N22:N23"/>
    <mergeCell ref="A22:A23"/>
    <mergeCell ref="B22:B23"/>
    <mergeCell ref="A18:A19"/>
    <mergeCell ref="B18:B19"/>
    <mergeCell ref="C18:C19"/>
    <mergeCell ref="D18:D19"/>
    <mergeCell ref="E18:E19"/>
    <mergeCell ref="I20:I21"/>
    <mergeCell ref="J20:J21"/>
    <mergeCell ref="K20:K21"/>
    <mergeCell ref="L20:L21"/>
    <mergeCell ref="L14:L15"/>
    <mergeCell ref="M14:M15"/>
    <mergeCell ref="N14:N15"/>
    <mergeCell ref="A14:A15"/>
    <mergeCell ref="B14:B15"/>
    <mergeCell ref="C14:C15"/>
    <mergeCell ref="G22:G23"/>
    <mergeCell ref="H22:H23"/>
    <mergeCell ref="H20:H21"/>
    <mergeCell ref="M18:M19"/>
    <mergeCell ref="N18:N19"/>
    <mergeCell ref="A20:A21"/>
    <mergeCell ref="B20:B21"/>
    <mergeCell ref="C20:C21"/>
    <mergeCell ref="D20:D21"/>
    <mergeCell ref="E20:E21"/>
    <mergeCell ref="F20:F21"/>
    <mergeCell ref="G20:G21"/>
    <mergeCell ref="G18:G19"/>
    <mergeCell ref="H18:H19"/>
    <mergeCell ref="I18:I19"/>
    <mergeCell ref="J18:J19"/>
    <mergeCell ref="K18:K19"/>
    <mergeCell ref="L18:L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F18:F19"/>
    <mergeCell ref="N20:N21"/>
    <mergeCell ref="O20:O21"/>
    <mergeCell ref="N16:N17"/>
    <mergeCell ref="O16:O17"/>
    <mergeCell ref="O18:O19"/>
    <mergeCell ref="M20:M21"/>
    <mergeCell ref="D14:D15"/>
    <mergeCell ref="E14:E15"/>
    <mergeCell ref="F14:F15"/>
    <mergeCell ref="G14:G15"/>
    <mergeCell ref="H14:H15"/>
    <mergeCell ref="H12:H13"/>
    <mergeCell ref="M10:M11"/>
    <mergeCell ref="N10:N11"/>
    <mergeCell ref="O10:O11"/>
    <mergeCell ref="I10:I11"/>
    <mergeCell ref="J10:J11"/>
    <mergeCell ref="K10:K11"/>
    <mergeCell ref="L10:L11"/>
    <mergeCell ref="N12:N13"/>
    <mergeCell ref="O12:O13"/>
    <mergeCell ref="I12:I13"/>
    <mergeCell ref="J12:J13"/>
    <mergeCell ref="K12:K13"/>
    <mergeCell ref="L12:L13"/>
    <mergeCell ref="M12:M13"/>
    <mergeCell ref="O14:O15"/>
    <mergeCell ref="I14:I15"/>
    <mergeCell ref="J14:J15"/>
    <mergeCell ref="K14:K15"/>
    <mergeCell ref="G12:G13"/>
    <mergeCell ref="G10:G11"/>
    <mergeCell ref="H10:H11"/>
    <mergeCell ref="A10:A11"/>
    <mergeCell ref="B10:B11"/>
    <mergeCell ref="C10:C11"/>
    <mergeCell ref="D10:D11"/>
    <mergeCell ref="E10:E11"/>
    <mergeCell ref="F10:F11"/>
    <mergeCell ref="C6:C7"/>
    <mergeCell ref="D6:D7"/>
    <mergeCell ref="E6:E7"/>
    <mergeCell ref="F6:F7"/>
    <mergeCell ref="A12:A13"/>
    <mergeCell ref="B12:B13"/>
    <mergeCell ref="C12:C13"/>
    <mergeCell ref="D12:D13"/>
    <mergeCell ref="E12:E13"/>
    <mergeCell ref="F12:F13"/>
    <mergeCell ref="J8:J9"/>
    <mergeCell ref="K8:K9"/>
    <mergeCell ref="L8:L9"/>
    <mergeCell ref="M8:M9"/>
    <mergeCell ref="N8:N9"/>
    <mergeCell ref="O8:O9"/>
    <mergeCell ref="O6:O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I6:I7"/>
    <mergeCell ref="J6:J7"/>
    <mergeCell ref="K6:K7"/>
    <mergeCell ref="L6:L7"/>
    <mergeCell ref="M6:M7"/>
    <mergeCell ref="N6:N7"/>
    <mergeCell ref="A6:A7"/>
    <mergeCell ref="B6:B7"/>
    <mergeCell ref="A4:A5"/>
    <mergeCell ref="B4:B5"/>
    <mergeCell ref="C4:C5"/>
    <mergeCell ref="D4:D5"/>
    <mergeCell ref="E4:E5"/>
    <mergeCell ref="F4:F5"/>
    <mergeCell ref="G4:G5"/>
    <mergeCell ref="G2:G3"/>
    <mergeCell ref="H2:H3"/>
    <mergeCell ref="A2:A3"/>
    <mergeCell ref="B2:B3"/>
    <mergeCell ref="C2:C3"/>
    <mergeCell ref="D2:D3"/>
    <mergeCell ref="E2:E3"/>
    <mergeCell ref="F2:F3"/>
    <mergeCell ref="N4:N5"/>
    <mergeCell ref="O4:O5"/>
    <mergeCell ref="G6:G7"/>
    <mergeCell ref="H6:H7"/>
    <mergeCell ref="H4:H5"/>
    <mergeCell ref="M2:M3"/>
    <mergeCell ref="N2:N3"/>
    <mergeCell ref="O2:O3"/>
    <mergeCell ref="I2:I3"/>
    <mergeCell ref="J2:J3"/>
    <mergeCell ref="K2:K3"/>
    <mergeCell ref="L2:L3"/>
    <mergeCell ref="I4:I5"/>
    <mergeCell ref="J4:J5"/>
    <mergeCell ref="K4:K5"/>
    <mergeCell ref="L4:L5"/>
    <mergeCell ref="M4:M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T102"/>
  <sheetViews>
    <sheetView showGridLines="0" tabSelected="1" topLeftCell="A80" workbookViewId="0">
      <selection activeCell="G66" sqref="G66"/>
    </sheetView>
  </sheetViews>
  <sheetFormatPr baseColWidth="10" defaultColWidth="10.90625" defaultRowHeight="14.4"/>
  <cols>
    <col min="1" max="1" width="4" style="95" customWidth="1"/>
    <col min="2" max="2" width="3.36328125" style="95" customWidth="1"/>
    <col min="3" max="3" width="24.90625" style="95" customWidth="1"/>
    <col min="4" max="5" width="13.6328125" style="95" customWidth="1"/>
    <col min="6" max="6" width="5" style="95" customWidth="1"/>
    <col min="7" max="7" width="15.08984375" style="95" customWidth="1"/>
    <col min="8" max="8" width="15.453125" style="95" bestFit="1" customWidth="1"/>
    <col min="9" max="9" width="16.81640625" style="95" customWidth="1"/>
    <col min="10" max="10" width="11.36328125" style="95" bestFit="1" customWidth="1"/>
    <col min="11" max="11" width="11.6328125" style="95" bestFit="1" customWidth="1"/>
    <col min="12" max="13" width="12" style="196" customWidth="1"/>
    <col min="14" max="14" width="14.6328125" style="196" customWidth="1"/>
    <col min="15" max="15" width="16.453125" style="196" bestFit="1" customWidth="1"/>
    <col min="16" max="16" width="12" style="196" customWidth="1"/>
    <col min="17" max="20" width="10.90625" style="196"/>
    <col min="21" max="16384" width="10.90625" style="95"/>
  </cols>
  <sheetData>
    <row r="3" spans="2:14">
      <c r="B3" s="303" t="s">
        <v>177</v>
      </c>
      <c r="C3" s="304"/>
      <c r="D3" s="305" t="s">
        <v>268</v>
      </c>
      <c r="E3" s="306"/>
      <c r="G3" s="307" t="s">
        <v>178</v>
      </c>
      <c r="H3" s="307"/>
      <c r="I3" s="97" t="s">
        <v>179</v>
      </c>
      <c r="J3" s="307" t="s">
        <v>180</v>
      </c>
      <c r="K3" s="307"/>
      <c r="L3" s="195" t="s">
        <v>181</v>
      </c>
      <c r="M3" s="98" t="s">
        <v>182</v>
      </c>
      <c r="N3" s="210"/>
    </row>
    <row r="4" spans="2:14">
      <c r="B4" s="308" t="s">
        <v>183</v>
      </c>
      <c r="C4" s="309"/>
      <c r="D4" s="310">
        <v>44713</v>
      </c>
      <c r="E4" s="311"/>
      <c r="G4" s="307" t="s">
        <v>184</v>
      </c>
      <c r="H4" s="307"/>
      <c r="I4" s="270">
        <v>51</v>
      </c>
      <c r="J4" s="312">
        <v>51</v>
      </c>
      <c r="K4" s="312"/>
      <c r="L4" s="270">
        <v>48</v>
      </c>
      <c r="M4" s="100">
        <f>+AVERAGE(I4:L4)</f>
        <v>50</v>
      </c>
      <c r="N4" s="227"/>
    </row>
    <row r="5" spans="2:14">
      <c r="B5" s="313" t="s">
        <v>185</v>
      </c>
      <c r="C5" s="314"/>
      <c r="D5" s="317" t="s">
        <v>186</v>
      </c>
      <c r="E5" s="318"/>
      <c r="G5" s="307" t="s">
        <v>187</v>
      </c>
      <c r="H5" s="307"/>
      <c r="I5" s="270">
        <v>5</v>
      </c>
      <c r="J5" s="312">
        <v>5</v>
      </c>
      <c r="K5" s="312"/>
      <c r="L5" s="270">
        <v>5</v>
      </c>
      <c r="M5" s="100">
        <f t="shared" ref="M5:M6" si="0">+AVERAGE(I5:L5)</f>
        <v>5</v>
      </c>
      <c r="N5" s="227"/>
    </row>
    <row r="6" spans="2:14">
      <c r="B6" s="315"/>
      <c r="C6" s="316"/>
      <c r="D6" s="319" t="s">
        <v>188</v>
      </c>
      <c r="E6" s="320"/>
      <c r="G6" s="307" t="s">
        <v>189</v>
      </c>
      <c r="H6" s="307"/>
      <c r="I6" s="101">
        <f>+I4*I5</f>
        <v>255</v>
      </c>
      <c r="J6" s="321">
        <f>+J4*J5</f>
        <v>255</v>
      </c>
      <c r="K6" s="321"/>
      <c r="L6" s="198">
        <f>+L4*L5</f>
        <v>240</v>
      </c>
      <c r="M6" s="100">
        <f t="shared" si="0"/>
        <v>250</v>
      </c>
      <c r="N6" s="227"/>
    </row>
    <row r="7" spans="2:14">
      <c r="B7" s="322" t="s">
        <v>304</v>
      </c>
      <c r="C7" s="323"/>
      <c r="D7" s="326">
        <v>200000000</v>
      </c>
      <c r="E7" s="327"/>
      <c r="G7" s="307" t="s">
        <v>191</v>
      </c>
      <c r="H7" s="307"/>
      <c r="I7" s="99">
        <f>+I6*I11</f>
        <v>5185</v>
      </c>
      <c r="J7" s="330">
        <f>+J6*J11</f>
        <v>773.5</v>
      </c>
      <c r="K7" s="330"/>
      <c r="L7" s="197">
        <f>+L6*L11</f>
        <v>770.4</v>
      </c>
      <c r="M7" s="100">
        <f>+SUM(I7:L7)</f>
        <v>6728.9</v>
      </c>
      <c r="N7" s="228"/>
    </row>
    <row r="8" spans="2:14">
      <c r="B8" s="324"/>
      <c r="C8" s="325"/>
      <c r="D8" s="328"/>
      <c r="E8" s="329"/>
      <c r="G8" s="96"/>
      <c r="H8" s="96"/>
      <c r="I8" s="96"/>
      <c r="N8" s="229"/>
    </row>
    <row r="9" spans="2:14">
      <c r="B9" s="331" t="s">
        <v>192</v>
      </c>
      <c r="C9" s="332"/>
      <c r="D9" s="333" t="s">
        <v>269</v>
      </c>
      <c r="E9" s="334"/>
      <c r="G9" s="335" t="s">
        <v>193</v>
      </c>
      <c r="H9" s="336"/>
      <c r="I9" s="336"/>
      <c r="J9" s="336"/>
      <c r="K9" s="336"/>
      <c r="L9" s="336"/>
      <c r="M9" s="337"/>
      <c r="N9" s="226"/>
    </row>
    <row r="10" spans="2:14">
      <c r="B10" s="244"/>
      <c r="C10" s="245" t="s">
        <v>271</v>
      </c>
      <c r="D10" s="351">
        <v>540</v>
      </c>
      <c r="E10" s="352"/>
      <c r="G10" s="231"/>
      <c r="H10" s="235"/>
      <c r="I10" s="231" t="s">
        <v>179</v>
      </c>
      <c r="J10" s="335" t="s">
        <v>180</v>
      </c>
      <c r="K10" s="337"/>
      <c r="L10" s="195" t="s">
        <v>181</v>
      </c>
      <c r="M10" s="98" t="s">
        <v>182</v>
      </c>
      <c r="N10" s="226"/>
    </row>
    <row r="11" spans="2:14">
      <c r="B11" s="246"/>
      <c r="C11" s="247" t="s">
        <v>270</v>
      </c>
      <c r="D11" s="349">
        <v>135735</v>
      </c>
      <c r="E11" s="350"/>
      <c r="G11" s="231" t="s">
        <v>194</v>
      </c>
      <c r="H11" s="235"/>
      <c r="I11" s="233">
        <f>+K16</f>
        <v>20.333333333333332</v>
      </c>
      <c r="J11" s="347">
        <f>+K17</f>
        <v>3.0333333333333332</v>
      </c>
      <c r="K11" s="337"/>
      <c r="L11" s="198">
        <f>+K18+K19</f>
        <v>3.21</v>
      </c>
      <c r="M11" s="242">
        <f>+SUM(I11:L11)</f>
        <v>26.576666666666668</v>
      </c>
      <c r="N11" s="226"/>
    </row>
    <row r="12" spans="2:14">
      <c r="B12" s="324" t="s">
        <v>195</v>
      </c>
      <c r="C12" s="325"/>
      <c r="D12" s="339">
        <f>+CCPP!B17</f>
        <v>0.11088207907284103</v>
      </c>
      <c r="E12" s="340"/>
      <c r="G12" s="231" t="s">
        <v>196</v>
      </c>
      <c r="H12" s="231"/>
      <c r="I12" s="238">
        <f>+($D$11/$D$10)*I16</f>
        <v>251.36111111111111</v>
      </c>
      <c r="J12" s="345">
        <f>+($D$11/$D$10)*I17</f>
        <v>175.95277777777778</v>
      </c>
      <c r="K12" s="346"/>
      <c r="L12" s="218">
        <f>+($D$11/$D$10)*AVERAGE(I18:I19)</f>
        <v>126.93736111111112</v>
      </c>
      <c r="M12" s="102">
        <f>+(I12*'$ porcentuales'!B7)+('TARIFA TPC 2022'!J12*'$ porcentuales'!C7)+('TARIFA TPC 2022'!L12*'$ porcentuales'!D7)</f>
        <v>227.72613624803151</v>
      </c>
    </row>
    <row r="13" spans="2:14">
      <c r="B13" s="331" t="s">
        <v>252</v>
      </c>
      <c r="C13" s="338"/>
      <c r="D13" s="353">
        <v>20</v>
      </c>
      <c r="E13" s="344"/>
      <c r="G13" s="231" t="s">
        <v>198</v>
      </c>
      <c r="H13" s="235"/>
      <c r="I13" s="233">
        <f>+I11*I12</f>
        <v>5111.0092592592591</v>
      </c>
      <c r="J13" s="347">
        <f>+J12*J11</f>
        <v>533.72342592592588</v>
      </c>
      <c r="K13" s="348"/>
      <c r="L13" s="198">
        <f>+L12*L11</f>
        <v>407.46892916666667</v>
      </c>
      <c r="M13" s="100">
        <f>+SUM(I13:L13)</f>
        <v>6052.2016143518513</v>
      </c>
    </row>
    <row r="14" spans="2:14">
      <c r="B14" s="324" t="s">
        <v>197</v>
      </c>
      <c r="C14" s="325"/>
      <c r="D14" s="341">
        <v>0</v>
      </c>
      <c r="E14" s="342"/>
      <c r="L14" s="95"/>
      <c r="M14" s="95"/>
    </row>
    <row r="15" spans="2:14">
      <c r="B15" s="331" t="s">
        <v>253</v>
      </c>
      <c r="C15" s="338"/>
      <c r="D15" s="343">
        <v>0.1</v>
      </c>
      <c r="E15" s="344"/>
      <c r="G15" s="231" t="s">
        <v>272</v>
      </c>
      <c r="H15" s="231" t="s">
        <v>273</v>
      </c>
      <c r="I15" s="231" t="s">
        <v>274</v>
      </c>
      <c r="J15" s="231" t="s">
        <v>275</v>
      </c>
      <c r="K15" s="231" t="s">
        <v>276</v>
      </c>
      <c r="L15" s="95"/>
      <c r="M15" s="243"/>
    </row>
    <row r="16" spans="2:14">
      <c r="B16" s="354" t="s">
        <v>199</v>
      </c>
      <c r="C16" s="355"/>
      <c r="D16" s="356">
        <f>+((D7*(1+D12)^D13*D12)-((D7*D15)*D12))/((1+D12)^D13-1)</f>
        <v>24951774.947503284</v>
      </c>
      <c r="E16" s="357"/>
      <c r="G16" s="231" t="s">
        <v>277</v>
      </c>
      <c r="H16" s="231">
        <v>244</v>
      </c>
      <c r="I16" s="241">
        <v>1</v>
      </c>
      <c r="J16" s="231">
        <f>+H16*I16</f>
        <v>244</v>
      </c>
      <c r="K16" s="233">
        <f>+J16/12</f>
        <v>20.333333333333332</v>
      </c>
      <c r="L16" s="95"/>
      <c r="M16" s="243"/>
    </row>
    <row r="17" spans="2:17">
      <c r="B17" s="335" t="s">
        <v>200</v>
      </c>
      <c r="C17" s="358"/>
      <c r="D17" s="359">
        <v>20</v>
      </c>
      <c r="E17" s="360"/>
      <c r="G17" s="231" t="s">
        <v>278</v>
      </c>
      <c r="H17" s="231">
        <v>52</v>
      </c>
      <c r="I17" s="241">
        <v>0.7</v>
      </c>
      <c r="J17" s="231">
        <f>+H17*I17</f>
        <v>36.4</v>
      </c>
      <c r="K17" s="233">
        <f t="shared" ref="K17:K18" si="1">+J17/12</f>
        <v>3.0333333333333332</v>
      </c>
      <c r="L17" s="199"/>
      <c r="M17" s="104"/>
    </row>
    <row r="18" spans="2:17">
      <c r="G18" s="231" t="s">
        <v>262</v>
      </c>
      <c r="H18" s="231">
        <v>52</v>
      </c>
      <c r="I18" s="241">
        <v>0.61</v>
      </c>
      <c r="J18" s="231">
        <f t="shared" ref="J18" si="2">+H18*I18</f>
        <v>31.72</v>
      </c>
      <c r="K18" s="233">
        <f t="shared" si="1"/>
        <v>2.6433333333333331</v>
      </c>
    </row>
    <row r="19" spans="2:17">
      <c r="G19" s="231" t="s">
        <v>279</v>
      </c>
      <c r="H19" s="231">
        <v>17</v>
      </c>
      <c r="I19" s="241">
        <v>0.4</v>
      </c>
      <c r="J19" s="231">
        <f>+H19*I19</f>
        <v>6.8000000000000007</v>
      </c>
      <c r="K19" s="233">
        <f>+J19/12</f>
        <v>0.56666666666666676</v>
      </c>
    </row>
    <row r="20" spans="2:17">
      <c r="G20" s="231" t="s">
        <v>280</v>
      </c>
      <c r="H20" s="231">
        <f>+SUM(H16:H19)</f>
        <v>365</v>
      </c>
      <c r="I20" s="240"/>
      <c r="J20" s="231">
        <f>+SUM(J16:J19)</f>
        <v>318.92</v>
      </c>
      <c r="K20" s="242">
        <f>+SUM(K16:K19)</f>
        <v>26.576666666666668</v>
      </c>
    </row>
    <row r="21" spans="2:17">
      <c r="B21" s="307" t="s">
        <v>201</v>
      </c>
      <c r="C21" s="307"/>
      <c r="D21" s="307"/>
      <c r="E21" s="307"/>
    </row>
    <row r="22" spans="2:17" ht="15" customHeight="1">
      <c r="B22" s="393" t="s">
        <v>202</v>
      </c>
      <c r="C22" s="394"/>
      <c r="D22" s="398" t="s">
        <v>203</v>
      </c>
      <c r="E22" s="399" t="s">
        <v>204</v>
      </c>
      <c r="G22" s="105" t="s">
        <v>205</v>
      </c>
      <c r="H22" s="380" t="s">
        <v>206</v>
      </c>
      <c r="I22" s="105"/>
      <c r="J22" s="383" t="s">
        <v>207</v>
      </c>
      <c r="K22" s="106"/>
      <c r="L22" s="200"/>
      <c r="O22" s="200"/>
      <c r="P22" s="200"/>
    </row>
    <row r="23" spans="2:17">
      <c r="B23" s="324"/>
      <c r="C23" s="395"/>
      <c r="D23" s="398"/>
      <c r="E23" s="399"/>
      <c r="G23" s="107" t="s">
        <v>208</v>
      </c>
      <c r="H23" s="381"/>
      <c r="I23" s="107" t="s">
        <v>209</v>
      </c>
      <c r="J23" s="384"/>
      <c r="K23" s="106"/>
      <c r="L23" s="200"/>
      <c r="O23" s="200"/>
      <c r="P23" s="200"/>
    </row>
    <row r="24" spans="2:17">
      <c r="B24" s="324"/>
      <c r="C24" s="395"/>
      <c r="D24" s="398"/>
      <c r="E24" s="399"/>
      <c r="G24" s="107">
        <v>1</v>
      </c>
      <c r="H24" s="381"/>
      <c r="I24" s="107" t="s">
        <v>210</v>
      </c>
      <c r="J24" s="384"/>
      <c r="K24" s="106"/>
      <c r="L24" s="200"/>
      <c r="O24" s="200"/>
      <c r="P24" s="200"/>
    </row>
    <row r="25" spans="2:17">
      <c r="B25" s="396"/>
      <c r="C25" s="397"/>
      <c r="D25" s="398"/>
      <c r="E25" s="399"/>
      <c r="G25" s="108">
        <v>0</v>
      </c>
      <c r="H25" s="382"/>
      <c r="I25" s="108"/>
      <c r="J25" s="385"/>
      <c r="K25" s="106"/>
      <c r="L25" s="239"/>
      <c r="O25" s="200"/>
      <c r="P25" s="200"/>
    </row>
    <row r="26" spans="2:17">
      <c r="L26" s="239"/>
      <c r="O26" s="200"/>
    </row>
    <row r="27" spans="2:17" ht="15" customHeight="1">
      <c r="B27" s="386" t="s">
        <v>211</v>
      </c>
      <c r="C27" s="387"/>
      <c r="D27" s="387"/>
      <c r="E27" s="387"/>
      <c r="F27" s="387"/>
      <c r="G27" s="387"/>
      <c r="H27" s="387"/>
      <c r="I27" s="387"/>
      <c r="J27" s="388"/>
      <c r="K27" s="109"/>
      <c r="L27" s="274"/>
      <c r="M27" s="228"/>
      <c r="O27" s="200"/>
      <c r="P27" s="109"/>
      <c r="Q27" s="201"/>
    </row>
    <row r="28" spans="2:17" ht="15.75" customHeight="1" thickBot="1">
      <c r="B28" s="389"/>
      <c r="C28" s="390"/>
      <c r="D28" s="390"/>
      <c r="E28" s="390"/>
      <c r="F28" s="390"/>
      <c r="G28" s="390"/>
      <c r="H28" s="390"/>
      <c r="I28" s="390"/>
      <c r="J28" s="391"/>
      <c r="K28" s="109"/>
      <c r="L28" s="275"/>
      <c r="M28" s="228"/>
      <c r="O28" s="109"/>
      <c r="P28" s="109"/>
      <c r="Q28" s="201"/>
    </row>
    <row r="29" spans="2:17" ht="15" thickTop="1">
      <c r="L29" s="228"/>
      <c r="M29" s="228"/>
    </row>
    <row r="30" spans="2:17">
      <c r="B30" s="392" t="s">
        <v>212</v>
      </c>
      <c r="C30" s="392"/>
      <c r="D30" s="97"/>
      <c r="E30" s="97"/>
      <c r="G30" s="110"/>
      <c r="H30" s="111">
        <f>+H31</f>
        <v>655.61416729464963</v>
      </c>
      <c r="I30" s="110">
        <f>+I31</f>
        <v>4411562.1703089681</v>
      </c>
      <c r="J30" s="112">
        <f>+H30/H95</f>
        <v>0.2973342037580326</v>
      </c>
      <c r="L30" s="200"/>
      <c r="O30" s="200"/>
      <c r="P30" s="203"/>
    </row>
    <row r="31" spans="2:17">
      <c r="B31" s="190"/>
      <c r="C31" s="189" t="s">
        <v>213</v>
      </c>
      <c r="D31" s="97">
        <v>1</v>
      </c>
      <c r="E31" s="97">
        <v>13.27</v>
      </c>
      <c r="G31" s="110">
        <v>8700</v>
      </c>
      <c r="H31" s="111">
        <f>+I31/M7</f>
        <v>655.61416729464963</v>
      </c>
      <c r="I31" s="110">
        <f>+(M7*G31)/E31</f>
        <v>4411562.1703089681</v>
      </c>
      <c r="J31" s="191"/>
      <c r="L31" s="200"/>
      <c r="O31" s="204"/>
      <c r="P31" s="201"/>
    </row>
    <row r="32" spans="2:17">
      <c r="L32" s="201"/>
      <c r="O32" s="201"/>
      <c r="P32" s="201"/>
    </row>
    <row r="33" spans="2:16">
      <c r="B33" s="392" t="s">
        <v>214</v>
      </c>
      <c r="C33" s="392"/>
      <c r="D33" s="237"/>
      <c r="E33" s="237"/>
      <c r="G33" s="118"/>
      <c r="H33" s="249">
        <f>+SUM(H34:H42)</f>
        <v>86.552661918844734</v>
      </c>
      <c r="I33" s="118">
        <f>+SUM(I34:I42)</f>
        <v>582404.20678571425</v>
      </c>
      <c r="J33" s="112">
        <f>+H33/H95</f>
        <v>3.9253372026678453E-2</v>
      </c>
      <c r="L33" s="200"/>
      <c r="O33" s="200"/>
      <c r="P33" s="203"/>
    </row>
    <row r="34" spans="2:16">
      <c r="B34" s="114"/>
      <c r="C34" s="115" t="s">
        <v>215</v>
      </c>
      <c r="D34" s="237">
        <v>3.3</v>
      </c>
      <c r="E34" s="117">
        <f>+M7</f>
        <v>6728.9</v>
      </c>
      <c r="G34" s="118">
        <v>58000</v>
      </c>
      <c r="H34" s="119">
        <f t="shared" ref="H34:H39" si="3">+I34/$M$7</f>
        <v>28.444470864480081</v>
      </c>
      <c r="I34" s="220">
        <f t="shared" ref="I34:I39" si="4">+(D34*G34)*$M$7/E34</f>
        <v>191400</v>
      </c>
      <c r="J34" s="103"/>
      <c r="K34" s="192"/>
      <c r="L34" s="200"/>
      <c r="O34" s="207"/>
      <c r="P34" s="201"/>
    </row>
    <row r="35" spans="2:16">
      <c r="B35" s="121"/>
      <c r="C35" s="248" t="s">
        <v>281</v>
      </c>
      <c r="D35" s="107">
        <v>6</v>
      </c>
      <c r="E35" s="124">
        <v>40000</v>
      </c>
      <c r="G35" s="125">
        <v>60000</v>
      </c>
      <c r="H35" s="126">
        <f t="shared" si="3"/>
        <v>9</v>
      </c>
      <c r="I35" s="221">
        <f t="shared" si="4"/>
        <v>60560.1</v>
      </c>
      <c r="J35" s="103"/>
      <c r="K35" s="192"/>
      <c r="L35" s="200"/>
      <c r="O35" s="207"/>
      <c r="P35" s="201"/>
    </row>
    <row r="36" spans="2:16">
      <c r="B36" s="121"/>
      <c r="C36" s="248" t="s">
        <v>282</v>
      </c>
      <c r="D36" s="107">
        <v>1.5</v>
      </c>
      <c r="E36" s="124">
        <v>40000</v>
      </c>
      <c r="G36" s="125">
        <v>60000</v>
      </c>
      <c r="H36" s="126">
        <f t="shared" si="3"/>
        <v>2.25</v>
      </c>
      <c r="I36" s="221">
        <f t="shared" si="4"/>
        <v>15140.025</v>
      </c>
      <c r="J36" s="103"/>
      <c r="K36" s="192"/>
      <c r="L36" s="200"/>
      <c r="O36" s="207"/>
      <c r="P36" s="201"/>
    </row>
    <row r="37" spans="2:16">
      <c r="B37" s="121"/>
      <c r="C37" s="248" t="s">
        <v>283</v>
      </c>
      <c r="D37" s="107">
        <v>1.5</v>
      </c>
      <c r="E37" s="124">
        <v>80000</v>
      </c>
      <c r="G37" s="125">
        <v>60000</v>
      </c>
      <c r="H37" s="126">
        <f t="shared" si="3"/>
        <v>1.125</v>
      </c>
      <c r="I37" s="221">
        <f t="shared" si="4"/>
        <v>7570.0124999999998</v>
      </c>
      <c r="J37" s="103"/>
      <c r="K37" s="192"/>
      <c r="L37" s="200"/>
      <c r="O37" s="207"/>
      <c r="P37" s="201"/>
    </row>
    <row r="38" spans="2:16">
      <c r="B38" s="121"/>
      <c r="C38" s="272" t="s">
        <v>310</v>
      </c>
      <c r="D38" s="107">
        <v>2</v>
      </c>
      <c r="E38" s="124">
        <f>+M7</f>
        <v>6728.9</v>
      </c>
      <c r="G38" s="125">
        <v>25000</v>
      </c>
      <c r="H38" s="126">
        <f t="shared" ref="H38" si="5">+I38/$M$7</f>
        <v>7.4306350220689863</v>
      </c>
      <c r="I38" s="221">
        <f t="shared" ref="I38" si="6">+(D38*G38)*$M$7/E38</f>
        <v>50000</v>
      </c>
      <c r="J38" s="103"/>
      <c r="K38" s="192"/>
      <c r="L38" s="200"/>
      <c r="O38" s="207"/>
      <c r="P38" s="201"/>
    </row>
    <row r="39" spans="2:16">
      <c r="B39" s="121"/>
      <c r="C39" s="248" t="s">
        <v>284</v>
      </c>
      <c r="D39" s="107">
        <v>1</v>
      </c>
      <c r="E39" s="124">
        <v>60000</v>
      </c>
      <c r="G39" s="125">
        <v>72000</v>
      </c>
      <c r="H39" s="126">
        <f t="shared" si="3"/>
        <v>1.2000000000000002</v>
      </c>
      <c r="I39" s="221">
        <f t="shared" si="4"/>
        <v>8074.68</v>
      </c>
      <c r="J39" s="103"/>
      <c r="K39" s="192"/>
      <c r="L39" s="200"/>
      <c r="O39" s="207"/>
      <c r="P39" s="201"/>
    </row>
    <row r="40" spans="2:16">
      <c r="B40" s="121"/>
      <c r="C40" s="272" t="s">
        <v>311</v>
      </c>
      <c r="D40" s="107">
        <v>1</v>
      </c>
      <c r="E40" s="124">
        <v>56000</v>
      </c>
      <c r="G40" s="125">
        <v>10000</v>
      </c>
      <c r="H40" s="126">
        <f t="shared" ref="H40" si="7">+I40/$M$7</f>
        <v>0.1785714285714286</v>
      </c>
      <c r="I40" s="221">
        <f t="shared" ref="I40" si="8">+(D40*G40)*$M$7/E40</f>
        <v>1201.5892857142858</v>
      </c>
      <c r="J40" s="103"/>
      <c r="K40" s="192"/>
      <c r="L40" s="200"/>
      <c r="O40" s="207"/>
      <c r="P40" s="201"/>
    </row>
    <row r="41" spans="2:16">
      <c r="B41" s="121"/>
      <c r="C41" s="272" t="s">
        <v>312</v>
      </c>
      <c r="D41" s="107">
        <v>2</v>
      </c>
      <c r="E41" s="124">
        <v>28000</v>
      </c>
      <c r="G41" s="125">
        <v>28000</v>
      </c>
      <c r="H41" s="126">
        <f t="shared" ref="H41" si="9">+I41/$M$7</f>
        <v>2</v>
      </c>
      <c r="I41" s="221">
        <f t="shared" ref="I41" si="10">+(D41*G41)*$M$7/E41</f>
        <v>13457.8</v>
      </c>
      <c r="J41" s="103"/>
      <c r="K41" s="192"/>
      <c r="L41" s="200"/>
      <c r="O41" s="207"/>
      <c r="P41" s="201"/>
    </row>
    <row r="42" spans="2:16">
      <c r="B42" s="128"/>
      <c r="C42" s="271" t="s">
        <v>305</v>
      </c>
      <c r="D42" s="108">
        <v>1</v>
      </c>
      <c r="E42" s="131">
        <f>+M7</f>
        <v>6728.9</v>
      </c>
      <c r="F42" s="194"/>
      <c r="G42" s="132">
        <v>235000</v>
      </c>
      <c r="H42" s="133">
        <f t="shared" ref="H42" si="11">+I42/$M$7</f>
        <v>34.923984603724236</v>
      </c>
      <c r="I42" s="222">
        <f t="shared" ref="I42" si="12">+(D42*G42)*$M$7/E42</f>
        <v>235000</v>
      </c>
      <c r="J42" s="103"/>
      <c r="L42" s="200"/>
      <c r="O42" s="207"/>
      <c r="P42" s="201"/>
    </row>
    <row r="43" spans="2:16">
      <c r="L43" s="201"/>
      <c r="O43" s="201"/>
      <c r="P43" s="201"/>
    </row>
    <row r="44" spans="2:16">
      <c r="B44" s="392" t="s">
        <v>221</v>
      </c>
      <c r="C44" s="392"/>
      <c r="D44" s="237"/>
      <c r="E44" s="237"/>
      <c r="G44" s="118"/>
      <c r="H44" s="249">
        <f>+SUM(H45:H47)</f>
        <v>82.430635022068984</v>
      </c>
      <c r="I44" s="118">
        <f>+SUM(I45:I47)</f>
        <v>554667.5</v>
      </c>
      <c r="J44" s="112">
        <f>+H44/H95</f>
        <v>3.7383949969678899E-2</v>
      </c>
      <c r="L44" s="200"/>
      <c r="O44" s="200"/>
      <c r="P44" s="203"/>
    </row>
    <row r="45" spans="2:16">
      <c r="B45" s="114"/>
      <c r="C45" s="115" t="s">
        <v>222</v>
      </c>
      <c r="D45" s="237">
        <v>6</v>
      </c>
      <c r="E45" s="117">
        <v>60000</v>
      </c>
      <c r="G45" s="250">
        <v>750000</v>
      </c>
      <c r="H45" s="251">
        <f>+I45/$M$7</f>
        <v>75</v>
      </c>
      <c r="I45" s="256">
        <f>+(D45*G45)*$M$7/E45</f>
        <v>504667.5</v>
      </c>
      <c r="J45" s="103"/>
      <c r="L45" s="200"/>
      <c r="O45" s="207"/>
      <c r="P45" s="201"/>
    </row>
    <row r="46" spans="2:16">
      <c r="B46" s="121"/>
      <c r="C46" s="248" t="s">
        <v>306</v>
      </c>
      <c r="D46" s="107">
        <v>6</v>
      </c>
      <c r="E46" s="124">
        <f>+M7*2</f>
        <v>13457.8</v>
      </c>
      <c r="G46" s="253">
        <v>10000</v>
      </c>
      <c r="H46" s="254">
        <f>+I46/$M$7</f>
        <v>4.4583810132413921</v>
      </c>
      <c r="I46" s="259">
        <f>+(D46*G46)*$M$7/E46</f>
        <v>30000</v>
      </c>
      <c r="J46" s="103"/>
      <c r="L46" s="200"/>
      <c r="O46" s="207"/>
      <c r="P46" s="201"/>
    </row>
    <row r="47" spans="2:16">
      <c r="B47" s="128"/>
      <c r="C47" s="273" t="s">
        <v>287</v>
      </c>
      <c r="D47" s="108">
        <v>1</v>
      </c>
      <c r="E47" s="131">
        <f>+M7*4</f>
        <v>26915.599999999999</v>
      </c>
      <c r="G47" s="257">
        <v>80000</v>
      </c>
      <c r="H47" s="258">
        <f>+I47/$M$7</f>
        <v>2.9722540088275946</v>
      </c>
      <c r="I47" s="260">
        <f>+(D47*G47)*$M$7/E47</f>
        <v>20000</v>
      </c>
      <c r="J47" s="103"/>
      <c r="L47" s="200"/>
      <c r="O47" s="207"/>
      <c r="P47" s="201"/>
    </row>
    <row r="48" spans="2:16">
      <c r="L48" s="201"/>
      <c r="M48" s="201"/>
      <c r="N48" s="201"/>
      <c r="O48" s="201"/>
      <c r="P48" s="201"/>
    </row>
    <row r="49" spans="2:16">
      <c r="B49" s="379" t="s">
        <v>225</v>
      </c>
      <c r="C49" s="379"/>
      <c r="D49" s="97"/>
      <c r="E49" s="97"/>
      <c r="G49" s="110"/>
      <c r="H49" s="219">
        <f>+SUM(H50:H53)</f>
        <v>59.65982552868968</v>
      </c>
      <c r="I49" s="110">
        <f>+SUM(I50:I53)</f>
        <v>401445</v>
      </c>
      <c r="J49" s="112">
        <f>+H49/H95</f>
        <v>2.7056930134860518E-2</v>
      </c>
      <c r="L49" s="200"/>
      <c r="M49" s="202"/>
      <c r="N49" s="205"/>
      <c r="O49" s="200"/>
      <c r="P49" s="203"/>
    </row>
    <row r="50" spans="2:16">
      <c r="B50" s="121"/>
      <c r="C50" s="272" t="s">
        <v>307</v>
      </c>
      <c r="D50" s="123">
        <v>1</v>
      </c>
      <c r="E50" s="124">
        <f>+M6</f>
        <v>250</v>
      </c>
      <c r="G50" s="125">
        <v>10000</v>
      </c>
      <c r="H50" s="126">
        <f t="shared" ref="H50:H53" si="13">+I50/$M$7</f>
        <v>40</v>
      </c>
      <c r="I50" s="127">
        <f>+(D50*G50)*$M$7/E50</f>
        <v>269156</v>
      </c>
      <c r="J50" s="103"/>
      <c r="L50" s="200"/>
      <c r="M50" s="202"/>
      <c r="N50" s="206"/>
      <c r="O50" s="207"/>
      <c r="P50" s="201"/>
    </row>
    <row r="51" spans="2:16">
      <c r="B51" s="121"/>
      <c r="C51" s="272" t="s">
        <v>308</v>
      </c>
      <c r="D51" s="123">
        <v>1</v>
      </c>
      <c r="E51" s="124">
        <f>+$M$7</f>
        <v>6728.9</v>
      </c>
      <c r="G51" s="125">
        <v>30000</v>
      </c>
      <c r="H51" s="126">
        <f t="shared" si="13"/>
        <v>4.4583810132413921</v>
      </c>
      <c r="I51" s="127">
        <f t="shared" ref="I51:I53" si="14">+(D51*G51)*$M$7/E51</f>
        <v>30000</v>
      </c>
      <c r="J51" s="103"/>
      <c r="L51" s="200"/>
      <c r="M51" s="202"/>
      <c r="N51" s="206"/>
      <c r="O51" s="207"/>
      <c r="P51" s="201"/>
    </row>
    <row r="52" spans="2:16">
      <c r="B52" s="121"/>
      <c r="C52" s="272" t="s">
        <v>228</v>
      </c>
      <c r="D52" s="123">
        <v>1</v>
      </c>
      <c r="E52" s="124">
        <f>+$M$7</f>
        <v>6728.9</v>
      </c>
      <c r="G52" s="125">
        <v>35000</v>
      </c>
      <c r="H52" s="126">
        <f t="shared" si="13"/>
        <v>5.2014445154482907</v>
      </c>
      <c r="I52" s="127">
        <f t="shared" si="14"/>
        <v>35000</v>
      </c>
      <c r="J52" s="103"/>
      <c r="L52" s="200"/>
      <c r="M52" s="202"/>
      <c r="N52" s="206"/>
      <c r="O52" s="207"/>
      <c r="P52" s="201"/>
    </row>
    <row r="53" spans="2:16">
      <c r="B53" s="128"/>
      <c r="C53" s="271" t="s">
        <v>309</v>
      </c>
      <c r="D53" s="130">
        <v>1</v>
      </c>
      <c r="E53" s="131">
        <v>35000</v>
      </c>
      <c r="G53" s="132">
        <v>350000</v>
      </c>
      <c r="H53" s="133">
        <f t="shared" si="13"/>
        <v>10</v>
      </c>
      <c r="I53" s="134">
        <f t="shared" si="14"/>
        <v>67289</v>
      </c>
      <c r="J53" s="103"/>
      <c r="L53" s="200"/>
      <c r="M53" s="202"/>
      <c r="N53" s="206"/>
      <c r="O53" s="207"/>
      <c r="P53" s="201"/>
    </row>
    <row r="54" spans="2:16">
      <c r="L54" s="201"/>
      <c r="M54" s="201"/>
      <c r="N54" s="201"/>
      <c r="O54" s="201"/>
      <c r="P54" s="201"/>
    </row>
    <row r="55" spans="2:16">
      <c r="B55" s="392" t="s">
        <v>232</v>
      </c>
      <c r="C55" s="392"/>
      <c r="D55" s="237"/>
      <c r="E55" s="237"/>
      <c r="G55" s="110"/>
      <c r="H55" s="219">
        <f>+SUM(H56:H62)</f>
        <v>269.96074996723769</v>
      </c>
      <c r="I55" s="110">
        <f>+SUM(I56:I62)</f>
        <v>1816538.8904545454</v>
      </c>
      <c r="J55" s="135">
        <f>+H55/H95</f>
        <v>0.12243262675157417</v>
      </c>
      <c r="L55" s="200"/>
      <c r="M55" s="202"/>
      <c r="N55" s="205"/>
      <c r="O55" s="200"/>
      <c r="P55" s="203"/>
    </row>
    <row r="56" spans="2:16">
      <c r="B56" s="114"/>
      <c r="C56" s="261" t="s">
        <v>315</v>
      </c>
      <c r="D56" s="237">
        <v>1</v>
      </c>
      <c r="E56" s="263">
        <v>60000</v>
      </c>
      <c r="G56" s="125">
        <v>640000</v>
      </c>
      <c r="H56" s="126">
        <f t="shared" ref="H56:H60" si="15">+I56/$M$7</f>
        <v>10.666666666666668</v>
      </c>
      <c r="I56" s="127">
        <f>+(D56*G56)*$M$7/E56</f>
        <v>71774.933333333334</v>
      </c>
      <c r="J56" s="103"/>
      <c r="L56" s="200"/>
      <c r="M56" s="202"/>
      <c r="N56" s="206"/>
      <c r="O56" s="207"/>
      <c r="P56" s="201"/>
    </row>
    <row r="57" spans="2:16">
      <c r="B57" s="121"/>
      <c r="C57" s="262" t="s">
        <v>316</v>
      </c>
      <c r="D57" s="107">
        <v>1</v>
      </c>
      <c r="E57" s="264">
        <v>50000</v>
      </c>
      <c r="G57" s="125">
        <v>2690000</v>
      </c>
      <c r="H57" s="254">
        <f t="shared" ref="H57" si="16">+I57/$M$7</f>
        <v>53.800000000000004</v>
      </c>
      <c r="I57" s="255">
        <f t="shared" ref="I57" si="17">+(D57*G57)*$M$7/E57</f>
        <v>362014.82</v>
      </c>
      <c r="J57" s="103"/>
      <c r="L57" s="200"/>
      <c r="M57" s="202"/>
      <c r="N57" s="206"/>
      <c r="O57" s="207"/>
      <c r="P57" s="201"/>
    </row>
    <row r="58" spans="2:16">
      <c r="B58" s="121"/>
      <c r="C58" s="262" t="s">
        <v>317</v>
      </c>
      <c r="D58" s="107">
        <v>1</v>
      </c>
      <c r="E58" s="264">
        <v>150000</v>
      </c>
      <c r="G58" s="125">
        <v>12500000</v>
      </c>
      <c r="H58" s="254">
        <f t="shared" ref="H58" si="18">+I58/$M$7</f>
        <v>83.333333333333329</v>
      </c>
      <c r="I58" s="255">
        <f t="shared" ref="I58" si="19">+(D58*G58)*$M$7/E58</f>
        <v>560741.66666666663</v>
      </c>
      <c r="J58" s="103"/>
      <c r="L58" s="200"/>
      <c r="M58" s="202"/>
      <c r="N58" s="206"/>
      <c r="O58" s="207"/>
      <c r="P58" s="201"/>
    </row>
    <row r="59" spans="2:16">
      <c r="B59" s="121"/>
      <c r="C59" s="262" t="s">
        <v>318</v>
      </c>
      <c r="D59" s="107">
        <v>1</v>
      </c>
      <c r="E59" s="264">
        <v>80000</v>
      </c>
      <c r="G59" s="125">
        <v>1860000</v>
      </c>
      <c r="H59" s="254">
        <f t="shared" ref="H59" si="20">+I59/$M$7</f>
        <v>23.25</v>
      </c>
      <c r="I59" s="255">
        <f t="shared" ref="I59" si="21">+(D59*G59)*$M$7/E59</f>
        <v>156446.92499999999</v>
      </c>
      <c r="J59" s="103"/>
      <c r="L59" s="200"/>
      <c r="M59" s="202"/>
      <c r="N59" s="206"/>
      <c r="O59" s="207"/>
      <c r="P59" s="201"/>
    </row>
    <row r="60" spans="2:16">
      <c r="B60" s="121"/>
      <c r="C60" s="262" t="s">
        <v>314</v>
      </c>
      <c r="D60" s="107">
        <v>1</v>
      </c>
      <c r="E60" s="264">
        <v>110000</v>
      </c>
      <c r="G60" s="253">
        <v>5800000</v>
      </c>
      <c r="H60" s="254">
        <f t="shared" si="15"/>
        <v>52.727272727272734</v>
      </c>
      <c r="I60" s="255">
        <f t="shared" ref="I60" si="22">+(D60*G60)*$M$7/E60</f>
        <v>354796.54545454547</v>
      </c>
      <c r="J60" s="103"/>
      <c r="L60" s="200"/>
      <c r="M60" s="202"/>
      <c r="N60" s="206"/>
      <c r="O60" s="207"/>
      <c r="P60" s="201"/>
    </row>
    <row r="61" spans="2:16">
      <c r="B61" s="121"/>
      <c r="C61" s="262" t="s">
        <v>313</v>
      </c>
      <c r="D61" s="107">
        <v>1</v>
      </c>
      <c r="E61" s="264">
        <f>+M7*2</f>
        <v>13457.8</v>
      </c>
      <c r="G61" s="253">
        <v>382800</v>
      </c>
      <c r="H61" s="254">
        <f t="shared" ref="H61" si="23">+I61/$M$7</f>
        <v>28.444470864480081</v>
      </c>
      <c r="I61" s="255">
        <f t="shared" ref="I61" si="24">+(D61*G61)*$M$7/E61</f>
        <v>191400</v>
      </c>
      <c r="J61" s="103"/>
      <c r="L61" s="200"/>
      <c r="M61" s="202"/>
      <c r="N61" s="206"/>
      <c r="O61" s="207"/>
      <c r="P61" s="201"/>
    </row>
    <row r="62" spans="2:16">
      <c r="B62" s="128"/>
      <c r="C62" s="276" t="s">
        <v>295</v>
      </c>
      <c r="D62" s="108">
        <v>1</v>
      </c>
      <c r="E62" s="265">
        <f>+$M$7*6</f>
        <v>40373.399999999994</v>
      </c>
      <c r="G62" s="257">
        <f>+SUM(G56:G61)*3%</f>
        <v>716184</v>
      </c>
      <c r="H62" s="258">
        <f t="shared" ref="H62" si="25">+I62/$M$7</f>
        <v>17.739006375484848</v>
      </c>
      <c r="I62" s="277">
        <f t="shared" ref="I62" si="26">+(D62*G62)*$M$7/E62</f>
        <v>119364</v>
      </c>
      <c r="J62" s="103"/>
      <c r="L62" s="200"/>
      <c r="M62" s="202"/>
      <c r="N62" s="206"/>
      <c r="O62" s="207"/>
      <c r="P62" s="201"/>
    </row>
    <row r="63" spans="2:16">
      <c r="L63" s="201"/>
      <c r="M63" s="201"/>
      <c r="N63" s="201"/>
      <c r="O63" s="201"/>
      <c r="P63" s="201"/>
    </row>
    <row r="64" spans="2:16">
      <c r="B64" s="392" t="s">
        <v>234</v>
      </c>
      <c r="C64" s="392"/>
      <c r="D64" s="237"/>
      <c r="E64" s="237"/>
      <c r="G64" s="118"/>
      <c r="H64" s="267">
        <f>+SUM(H65:H67)</f>
        <v>365.64174233529997</v>
      </c>
      <c r="I64" s="118">
        <f>+SUM(I65:I67)</f>
        <v>2460366.7199999997</v>
      </c>
      <c r="J64" s="112">
        <f>+H64/H95</f>
        <v>0.16582588013096672</v>
      </c>
      <c r="L64" s="200"/>
      <c r="M64" s="202"/>
      <c r="N64" s="205"/>
      <c r="O64" s="200"/>
      <c r="P64" s="203"/>
    </row>
    <row r="65" spans="2:17">
      <c r="B65" s="114"/>
      <c r="C65" s="115" t="s">
        <v>235</v>
      </c>
      <c r="D65" s="237">
        <v>1</v>
      </c>
      <c r="E65" s="263">
        <f>+M7</f>
        <v>6728.9</v>
      </c>
      <c r="G65" s="118">
        <f>+(1000000*1.2)+117000</f>
        <v>1317000</v>
      </c>
      <c r="H65" s="119">
        <f>+I65/$M$7</f>
        <v>195.72292648129709</v>
      </c>
      <c r="I65" s="120">
        <f>+(D65*G65)*$M$7/E65</f>
        <v>1317000</v>
      </c>
      <c r="J65" s="103"/>
      <c r="L65" s="200"/>
      <c r="M65" s="202"/>
      <c r="N65" s="206"/>
      <c r="O65" s="207"/>
      <c r="P65" s="201"/>
    </row>
    <row r="66" spans="2:17">
      <c r="B66" s="121"/>
      <c r="C66" s="248" t="s">
        <v>296</v>
      </c>
      <c r="D66" s="107">
        <v>1</v>
      </c>
      <c r="E66" s="264">
        <f>+M7</f>
        <v>6728.9</v>
      </c>
      <c r="G66" s="125">
        <f>+G65*20%</f>
        <v>263400</v>
      </c>
      <c r="H66" s="126">
        <f t="shared" ref="H66:H67" si="27">+I66/$M$7</f>
        <v>39.144585296259422</v>
      </c>
      <c r="I66" s="127">
        <f t="shared" ref="I66:I67" si="28">+(D66*G66)*$M$7/E66</f>
        <v>263400</v>
      </c>
      <c r="J66" s="103"/>
      <c r="L66" s="266"/>
      <c r="M66" s="202"/>
      <c r="N66" s="206"/>
      <c r="O66" s="207"/>
      <c r="P66" s="201"/>
    </row>
    <row r="67" spans="2:17">
      <c r="B67" s="128"/>
      <c r="C67" s="129" t="s">
        <v>236</v>
      </c>
      <c r="D67" s="108">
        <v>1</v>
      </c>
      <c r="E67" s="265">
        <f>+E65</f>
        <v>6728.9</v>
      </c>
      <c r="G67" s="132">
        <f>+SUM(G65:G66)*55.68%</f>
        <v>879966.71999999997</v>
      </c>
      <c r="H67" s="133">
        <f t="shared" si="27"/>
        <v>130.77423055774346</v>
      </c>
      <c r="I67" s="134">
        <f t="shared" si="28"/>
        <v>879966.71999999997</v>
      </c>
      <c r="J67" s="103"/>
      <c r="L67" s="200"/>
      <c r="M67" s="203"/>
      <c r="N67" s="206"/>
      <c r="O67" s="207"/>
      <c r="P67" s="201"/>
    </row>
    <row r="68" spans="2:17">
      <c r="G68" s="136"/>
      <c r="L68" s="201"/>
      <c r="M68" s="279"/>
      <c r="N68" s="201"/>
      <c r="O68" s="201"/>
      <c r="P68" s="201"/>
    </row>
    <row r="69" spans="2:17" ht="18">
      <c r="B69" s="374" t="s">
        <v>237</v>
      </c>
      <c r="C69" s="374"/>
      <c r="D69" s="374"/>
      <c r="E69" s="374"/>
      <c r="F69" s="374"/>
      <c r="G69" s="374"/>
      <c r="H69" s="137">
        <f>+H64+H55+H49+H44+H33+H30</f>
        <v>1519.8597820667906</v>
      </c>
      <c r="I69" s="138">
        <f>+I64+I55+I49+I44+I33+I30</f>
        <v>10226984.487549227</v>
      </c>
      <c r="J69" s="139">
        <f>+I69/I95</f>
        <v>0.68928696277179125</v>
      </c>
      <c r="K69" s="140"/>
      <c r="L69" s="201"/>
      <c r="M69" s="280"/>
      <c r="N69" s="179"/>
      <c r="O69" s="180"/>
      <c r="P69" s="209"/>
    </row>
    <row r="70" spans="2:17">
      <c r="M70" s="281"/>
    </row>
    <row r="71" spans="2:17" ht="15" customHeight="1">
      <c r="B71" s="386" t="s">
        <v>238</v>
      </c>
      <c r="C71" s="387"/>
      <c r="D71" s="387"/>
      <c r="E71" s="387"/>
      <c r="F71" s="387"/>
      <c r="G71" s="387"/>
      <c r="H71" s="387"/>
      <c r="I71" s="387"/>
      <c r="J71" s="388"/>
      <c r="K71" s="109"/>
      <c r="L71" s="109"/>
      <c r="M71" s="282"/>
      <c r="N71" s="109"/>
      <c r="O71" s="109"/>
      <c r="P71" s="109"/>
      <c r="Q71" s="201"/>
    </row>
    <row r="72" spans="2:17" ht="15.75" customHeight="1" thickBot="1">
      <c r="B72" s="389"/>
      <c r="C72" s="390"/>
      <c r="D72" s="390"/>
      <c r="E72" s="390"/>
      <c r="F72" s="390"/>
      <c r="G72" s="390"/>
      <c r="H72" s="390"/>
      <c r="I72" s="390"/>
      <c r="J72" s="391"/>
      <c r="K72" s="109"/>
      <c r="L72" s="109"/>
      <c r="M72" s="282"/>
      <c r="N72" s="109"/>
      <c r="O72" s="109"/>
      <c r="P72" s="109"/>
      <c r="Q72" s="201"/>
    </row>
    <row r="73" spans="2:17" ht="15" thickTop="1">
      <c r="M73" s="281"/>
    </row>
    <row r="74" spans="2:17">
      <c r="B74" s="379" t="s">
        <v>239</v>
      </c>
      <c r="C74" s="379"/>
      <c r="D74" s="97"/>
      <c r="E74" s="97"/>
      <c r="G74" s="110"/>
      <c r="H74" s="113">
        <f>+SUM(H75:H81)</f>
        <v>376.10159164202179</v>
      </c>
      <c r="I74" s="110">
        <f>+SUM(I75:I81)</f>
        <v>2530750.0000000005</v>
      </c>
      <c r="J74" s="141">
        <f>+H74/H95</f>
        <v>0.17056963205121067</v>
      </c>
      <c r="L74" s="200"/>
      <c r="M74" s="279"/>
      <c r="N74" s="200"/>
      <c r="O74" s="200"/>
      <c r="P74" s="200"/>
    </row>
    <row r="75" spans="2:17">
      <c r="B75" s="142"/>
      <c r="C75" s="143" t="s">
        <v>240</v>
      </c>
      <c r="D75" s="144">
        <v>1</v>
      </c>
      <c r="E75" s="145">
        <f>+M7</f>
        <v>6728.9</v>
      </c>
      <c r="F75" s="146"/>
      <c r="G75" s="147">
        <v>240000</v>
      </c>
      <c r="H75" s="148">
        <f>+I75/$M$7</f>
        <v>35.667048105931137</v>
      </c>
      <c r="I75" s="149">
        <f>+(D75*G75)*$M$7/E75</f>
        <v>240000</v>
      </c>
      <c r="J75" s="150"/>
      <c r="L75" s="200"/>
      <c r="M75" s="279"/>
      <c r="N75" s="200"/>
      <c r="O75" s="200"/>
      <c r="P75" s="200"/>
    </row>
    <row r="76" spans="2:17">
      <c r="B76" s="151"/>
      <c r="C76" s="152" t="s">
        <v>321</v>
      </c>
      <c r="D76" s="153">
        <v>1</v>
      </c>
      <c r="E76" s="154">
        <f>+$E$75*12</f>
        <v>80746.799999999988</v>
      </c>
      <c r="F76" s="146"/>
      <c r="G76" s="155">
        <v>345000</v>
      </c>
      <c r="H76" s="156">
        <f t="shared" ref="H76" si="29">+I76/$M$7</f>
        <v>4.2726151376896677</v>
      </c>
      <c r="I76" s="157">
        <f t="shared" ref="I76" si="30">+(D76*G76)*$M$7/E76</f>
        <v>28750.000000000004</v>
      </c>
      <c r="J76" s="150"/>
      <c r="L76" s="200"/>
      <c r="M76" s="279"/>
      <c r="N76" s="200"/>
      <c r="O76" s="200"/>
      <c r="P76" s="200"/>
    </row>
    <row r="77" spans="2:17">
      <c r="B77" s="151"/>
      <c r="C77" s="152" t="s">
        <v>241</v>
      </c>
      <c r="D77" s="153">
        <v>1</v>
      </c>
      <c r="E77" s="154">
        <f>+$E$75*12</f>
        <v>80746.799999999988</v>
      </c>
      <c r="F77" s="146"/>
      <c r="G77" s="155">
        <v>1800000</v>
      </c>
      <c r="H77" s="156">
        <f t="shared" ref="H77:H81" si="31">+I77/$M$7</f>
        <v>22.291905066206965</v>
      </c>
      <c r="I77" s="157">
        <f t="shared" ref="I77:I81" si="32">+(D77*G77)*$M$7/E77</f>
        <v>150000.00000000003</v>
      </c>
      <c r="J77" s="150"/>
      <c r="L77" s="200"/>
      <c r="M77" s="278"/>
      <c r="N77" s="200"/>
      <c r="O77" s="200"/>
      <c r="P77" s="200"/>
    </row>
    <row r="78" spans="2:17">
      <c r="B78" s="151"/>
      <c r="C78" s="152" t="s">
        <v>242</v>
      </c>
      <c r="D78" s="153">
        <v>1</v>
      </c>
      <c r="E78" s="154">
        <f>+E75*12</f>
        <v>80746.799999999988</v>
      </c>
      <c r="F78" s="146"/>
      <c r="G78" s="158">
        <v>1094000</v>
      </c>
      <c r="H78" s="156">
        <f t="shared" si="31"/>
        <v>13.548524523572455</v>
      </c>
      <c r="I78" s="157">
        <f t="shared" si="32"/>
        <v>91166.666666666686</v>
      </c>
      <c r="J78" s="150"/>
      <c r="L78" s="200"/>
      <c r="M78" s="200"/>
      <c r="N78" s="200"/>
      <c r="O78" s="200"/>
      <c r="P78" s="200"/>
    </row>
    <row r="79" spans="2:17">
      <c r="B79" s="151"/>
      <c r="C79" s="152" t="s">
        <v>243</v>
      </c>
      <c r="D79" s="153">
        <v>1</v>
      </c>
      <c r="E79" s="154">
        <f>+$E$75</f>
        <v>6728.9</v>
      </c>
      <c r="F79" s="146"/>
      <c r="G79" s="155">
        <v>1200000</v>
      </c>
      <c r="H79" s="156">
        <f t="shared" si="31"/>
        <v>178.33524052965566</v>
      </c>
      <c r="I79" s="157">
        <f t="shared" si="32"/>
        <v>1200000</v>
      </c>
      <c r="J79" s="150"/>
      <c r="L79" s="200"/>
      <c r="M79" s="200"/>
      <c r="N79" s="200"/>
      <c r="O79" s="200"/>
      <c r="P79" s="200"/>
    </row>
    <row r="80" spans="2:17">
      <c r="B80" s="151"/>
      <c r="C80" s="152" t="s">
        <v>299</v>
      </c>
      <c r="D80" s="153">
        <v>1</v>
      </c>
      <c r="E80" s="154">
        <f>+E79*12</f>
        <v>80746.799999999988</v>
      </c>
      <c r="F80" s="146"/>
      <c r="G80" s="155">
        <v>9000000</v>
      </c>
      <c r="H80" s="156">
        <f t="shared" si="31"/>
        <v>111.45952533103481</v>
      </c>
      <c r="I80" s="157">
        <f t="shared" si="32"/>
        <v>750000.00000000012</v>
      </c>
      <c r="J80" s="150"/>
      <c r="L80" s="200"/>
      <c r="M80" s="200"/>
      <c r="N80" s="200"/>
      <c r="O80" s="200"/>
      <c r="P80" s="200"/>
    </row>
    <row r="81" spans="2:16">
      <c r="B81" s="159"/>
      <c r="C81" s="160" t="s">
        <v>244</v>
      </c>
      <c r="D81" s="161">
        <v>1</v>
      </c>
      <c r="E81" s="162">
        <f>+E79*12</f>
        <v>80746.799999999988</v>
      </c>
      <c r="F81" s="146"/>
      <c r="G81" s="163">
        <v>850000</v>
      </c>
      <c r="H81" s="164">
        <f t="shared" si="31"/>
        <v>10.526732947931066</v>
      </c>
      <c r="I81" s="165">
        <f t="shared" si="32"/>
        <v>70833.333333333343</v>
      </c>
      <c r="J81" s="150"/>
      <c r="L81" s="200"/>
      <c r="M81" s="200"/>
      <c r="N81" s="200"/>
      <c r="O81" s="200"/>
      <c r="P81" s="200"/>
    </row>
    <row r="82" spans="2:16">
      <c r="B82" s="150"/>
      <c r="C82" s="150"/>
      <c r="D82" s="166"/>
      <c r="E82" s="167"/>
      <c r="F82" s="146"/>
      <c r="G82" s="168"/>
      <c r="H82" s="169"/>
      <c r="I82" s="170"/>
      <c r="J82" s="150"/>
      <c r="L82" s="200"/>
      <c r="M82" s="200"/>
      <c r="N82" s="200"/>
      <c r="O82" s="200"/>
      <c r="P82" s="200"/>
    </row>
    <row r="83" spans="2:16" ht="18.75" customHeight="1">
      <c r="B83" s="366" t="s">
        <v>245</v>
      </c>
      <c r="C83" s="366"/>
      <c r="D83" s="366"/>
      <c r="E83" s="366"/>
      <c r="F83" s="366"/>
      <c r="G83" s="366"/>
      <c r="H83" s="171">
        <f>+H74</f>
        <v>376.10159164202179</v>
      </c>
      <c r="I83" s="172">
        <f>+I74</f>
        <v>2530750.0000000005</v>
      </c>
      <c r="J83" s="173">
        <f>+H83/H95</f>
        <v>0.17056963205121067</v>
      </c>
      <c r="L83" s="200"/>
      <c r="M83" s="200"/>
      <c r="N83" s="200"/>
      <c r="O83" s="200"/>
      <c r="P83" s="200"/>
    </row>
    <row r="84" spans="2:16">
      <c r="B84" s="146"/>
      <c r="C84" s="146"/>
      <c r="D84" s="146"/>
      <c r="E84" s="146"/>
      <c r="F84" s="146"/>
      <c r="G84" s="146"/>
      <c r="H84" s="146"/>
      <c r="I84" s="146"/>
      <c r="J84" s="146"/>
    </row>
    <row r="85" spans="2:16" ht="15" customHeight="1">
      <c r="B85" s="367" t="s">
        <v>246</v>
      </c>
      <c r="C85" s="368"/>
      <c r="D85" s="368"/>
      <c r="E85" s="368"/>
      <c r="F85" s="368"/>
      <c r="G85" s="368"/>
      <c r="H85" s="368"/>
      <c r="I85" s="368"/>
      <c r="J85" s="369"/>
      <c r="K85" s="109"/>
      <c r="L85" s="109"/>
      <c r="M85" s="109"/>
      <c r="N85" s="109"/>
      <c r="O85" s="109"/>
      <c r="P85" s="109"/>
    </row>
    <row r="86" spans="2:16" ht="15.75" customHeight="1" thickBot="1">
      <c r="B86" s="370"/>
      <c r="C86" s="371"/>
      <c r="D86" s="371"/>
      <c r="E86" s="371"/>
      <c r="F86" s="371"/>
      <c r="G86" s="371"/>
      <c r="H86" s="371"/>
      <c r="I86" s="371"/>
      <c r="J86" s="372"/>
      <c r="K86" s="109"/>
      <c r="L86" s="109"/>
      <c r="M86" s="109"/>
      <c r="N86" s="109"/>
      <c r="O86" s="109"/>
      <c r="P86" s="109"/>
    </row>
    <row r="87" spans="2:16" ht="15" thickTop="1">
      <c r="B87" s="146"/>
      <c r="C87" s="146"/>
      <c r="D87" s="146"/>
      <c r="E87" s="146"/>
      <c r="F87" s="146"/>
      <c r="G87" s="146"/>
      <c r="H87" s="146"/>
      <c r="I87" s="146"/>
      <c r="J87" s="146"/>
    </row>
    <row r="88" spans="2:16">
      <c r="B88" s="373" t="s">
        <v>247</v>
      </c>
      <c r="C88" s="373"/>
      <c r="D88" s="174"/>
      <c r="E88" s="174"/>
      <c r="F88" s="146"/>
      <c r="G88" s="175"/>
      <c r="H88" s="176">
        <f>+SUM(H89:H90)</f>
        <v>309.01255464616912</v>
      </c>
      <c r="I88" s="175">
        <f>+SUM(I89:I90)</f>
        <v>2079314.5789586073</v>
      </c>
      <c r="J88" s="223">
        <f>+H88/H95</f>
        <v>0.140143405176998</v>
      </c>
      <c r="L88" s="200"/>
      <c r="M88" s="200"/>
      <c r="N88" s="200"/>
      <c r="O88" s="200"/>
      <c r="P88" s="200"/>
    </row>
    <row r="89" spans="2:16">
      <c r="B89" s="142"/>
      <c r="C89" s="143" t="s">
        <v>248</v>
      </c>
      <c r="D89" s="144">
        <v>1</v>
      </c>
      <c r="E89" s="224">
        <f>+M7*12</f>
        <v>80746.799999999988</v>
      </c>
      <c r="F89" s="146"/>
      <c r="G89" s="147">
        <f>+D7*0.7*D12</f>
        <v>15523491.070197744</v>
      </c>
      <c r="H89" s="148">
        <f>+I89/$M$7</f>
        <v>192.2489940183109</v>
      </c>
      <c r="I89" s="149">
        <f>+(D89*G89)*$M$7/E89</f>
        <v>1293624.2558498122</v>
      </c>
      <c r="J89" s="150"/>
      <c r="L89" s="200"/>
      <c r="M89" s="200"/>
      <c r="N89" s="200"/>
      <c r="O89" s="200"/>
      <c r="P89" s="200"/>
    </row>
    <row r="90" spans="2:16">
      <c r="B90" s="159"/>
      <c r="C90" s="160" t="s">
        <v>249</v>
      </c>
      <c r="D90" s="161">
        <v>1</v>
      </c>
      <c r="E90" s="225">
        <f>+M7*12</f>
        <v>80746.799999999988</v>
      </c>
      <c r="F90" s="146"/>
      <c r="G90" s="177">
        <f>+D16-G89</f>
        <v>9428283.8773055393</v>
      </c>
      <c r="H90" s="164">
        <f>+I90/$M$7</f>
        <v>116.76356062785821</v>
      </c>
      <c r="I90" s="165">
        <f>+(D90*G90)*$M$7/E90</f>
        <v>785690.3231087951</v>
      </c>
      <c r="J90" s="150"/>
      <c r="L90" s="230"/>
      <c r="M90" s="200"/>
      <c r="N90" s="200"/>
      <c r="O90" s="200"/>
      <c r="P90" s="200"/>
    </row>
    <row r="91" spans="2:16">
      <c r="L91" s="200"/>
      <c r="M91" s="200"/>
      <c r="N91" s="200"/>
      <c r="O91" s="200"/>
      <c r="P91" s="200"/>
    </row>
    <row r="92" spans="2:16" ht="18.75" customHeight="1">
      <c r="B92" s="374" t="s">
        <v>250</v>
      </c>
      <c r="C92" s="374"/>
      <c r="D92" s="374"/>
      <c r="E92" s="374"/>
      <c r="F92" s="374"/>
      <c r="G92" s="374"/>
      <c r="H92" s="137">
        <f>+H88</f>
        <v>309.01255464616912</v>
      </c>
      <c r="I92" s="138">
        <f>+I88</f>
        <v>2079314.5789586073</v>
      </c>
      <c r="J92" s="139">
        <f>+J88</f>
        <v>0.140143405176998</v>
      </c>
      <c r="L92" s="200"/>
      <c r="M92" s="200"/>
      <c r="N92" s="200"/>
      <c r="O92" s="200"/>
      <c r="P92" s="200"/>
    </row>
    <row r="93" spans="2:16" ht="18.75" customHeight="1">
      <c r="B93" s="178"/>
      <c r="C93" s="178"/>
      <c r="D93" s="178"/>
      <c r="E93" s="178"/>
      <c r="F93" s="178"/>
      <c r="G93" s="178"/>
      <c r="H93" s="179"/>
      <c r="I93" s="180"/>
      <c r="L93" s="200"/>
      <c r="M93" s="200"/>
      <c r="N93" s="200"/>
      <c r="O93" s="200"/>
      <c r="P93" s="200"/>
    </row>
    <row r="94" spans="2:16">
      <c r="L94" s="200"/>
      <c r="M94" s="200"/>
      <c r="N94" s="200"/>
      <c r="O94" s="200"/>
      <c r="P94" s="200"/>
    </row>
    <row r="95" spans="2:16" s="184" customFormat="1" ht="30" customHeight="1">
      <c r="B95" s="375" t="s">
        <v>300</v>
      </c>
      <c r="C95" s="375"/>
      <c r="D95" s="375"/>
      <c r="E95" s="375"/>
      <c r="F95" s="375"/>
      <c r="G95" s="375"/>
      <c r="H95" s="181">
        <f>+H92+H83+H69</f>
        <v>2204.9739283549816</v>
      </c>
      <c r="I95" s="182">
        <f>+I92+I83+I69</f>
        <v>14837049.066507835</v>
      </c>
      <c r="J95" s="183">
        <f>+J92+J83+J69</f>
        <v>0.99999999999999989</v>
      </c>
      <c r="L95" s="200"/>
      <c r="M95" s="200"/>
      <c r="N95" s="200"/>
      <c r="O95" s="200"/>
      <c r="P95" s="200"/>
    </row>
    <row r="96" spans="2:16" s="184" customFormat="1" ht="15.75" customHeight="1">
      <c r="B96" s="185"/>
      <c r="C96" s="185"/>
      <c r="D96" s="185"/>
      <c r="E96" s="185"/>
      <c r="F96" s="185"/>
      <c r="G96" s="185"/>
      <c r="H96" s="186"/>
      <c r="I96" s="187"/>
      <c r="J96" s="188"/>
      <c r="L96" s="200"/>
      <c r="M96" s="200"/>
      <c r="N96" s="200"/>
      <c r="O96" s="200"/>
      <c r="P96" s="200"/>
    </row>
    <row r="98" spans="2:12" ht="18.75" customHeight="1">
      <c r="B98" s="374" t="s">
        <v>251</v>
      </c>
      <c r="C98" s="374"/>
      <c r="D98" s="374"/>
      <c r="E98" s="374"/>
      <c r="F98" s="374"/>
      <c r="G98" s="374"/>
      <c r="H98" s="374"/>
      <c r="I98" s="376">
        <v>2000</v>
      </c>
      <c r="J98" s="376"/>
    </row>
    <row r="99" spans="2:12" ht="18.75" customHeight="1">
      <c r="B99" s="377" t="s">
        <v>267</v>
      </c>
      <c r="C99" s="377"/>
      <c r="D99" s="377"/>
      <c r="E99" s="377"/>
      <c r="F99" s="377"/>
      <c r="G99" s="377"/>
      <c r="H99" s="377"/>
      <c r="I99" s="378">
        <f>+I95/M13</f>
        <v>2451.5126910716408</v>
      </c>
      <c r="J99" s="378"/>
    </row>
    <row r="100" spans="2:12" ht="18">
      <c r="B100" s="374" t="s">
        <v>319</v>
      </c>
      <c r="C100" s="374"/>
      <c r="D100" s="374"/>
      <c r="E100" s="374"/>
      <c r="F100" s="374"/>
      <c r="G100" s="374"/>
      <c r="H100" s="374"/>
      <c r="I100" s="376">
        <f>+CEILING(I99,50)</f>
        <v>2500</v>
      </c>
      <c r="J100" s="376"/>
      <c r="L100" s="210"/>
    </row>
    <row r="101" spans="2:12" ht="18">
      <c r="B101" s="361" t="s">
        <v>320</v>
      </c>
      <c r="C101" s="362"/>
      <c r="D101" s="362"/>
      <c r="E101" s="362"/>
      <c r="F101" s="362"/>
      <c r="G101" s="362"/>
      <c r="H101" s="363"/>
      <c r="I101" s="364">
        <v>2200</v>
      </c>
      <c r="J101" s="365"/>
    </row>
    <row r="102" spans="2:12" ht="18">
      <c r="B102" s="374" t="s">
        <v>256</v>
      </c>
      <c r="C102" s="374"/>
      <c r="D102" s="374"/>
      <c r="E102" s="374"/>
      <c r="F102" s="374"/>
      <c r="G102" s="374"/>
      <c r="H102" s="374"/>
      <c r="I102" s="400">
        <f>+I101/I98-1</f>
        <v>0.10000000000000009</v>
      </c>
      <c r="J102" s="400"/>
    </row>
  </sheetData>
  <mergeCells count="71">
    <mergeCell ref="B102:H102"/>
    <mergeCell ref="I102:J102"/>
    <mergeCell ref="B74:C74"/>
    <mergeCell ref="H22:H25"/>
    <mergeCell ref="J22:J25"/>
    <mergeCell ref="B27:J28"/>
    <mergeCell ref="B30:C30"/>
    <mergeCell ref="B33:C33"/>
    <mergeCell ref="B49:C49"/>
    <mergeCell ref="B55:C55"/>
    <mergeCell ref="B64:C64"/>
    <mergeCell ref="B69:G69"/>
    <mergeCell ref="B71:J72"/>
    <mergeCell ref="B44:C44"/>
    <mergeCell ref="B22:C25"/>
    <mergeCell ref="D22:D25"/>
    <mergeCell ref="E22:E25"/>
    <mergeCell ref="B101:H101"/>
    <mergeCell ref="I101:J101"/>
    <mergeCell ref="B83:G83"/>
    <mergeCell ref="B85:J86"/>
    <mergeCell ref="B88:C88"/>
    <mergeCell ref="B92:G92"/>
    <mergeCell ref="B95:G95"/>
    <mergeCell ref="B98:H98"/>
    <mergeCell ref="I98:J98"/>
    <mergeCell ref="B99:H99"/>
    <mergeCell ref="I99:J99"/>
    <mergeCell ref="B100:H100"/>
    <mergeCell ref="I100:J100"/>
    <mergeCell ref="B16:C16"/>
    <mergeCell ref="D16:E16"/>
    <mergeCell ref="B17:C17"/>
    <mergeCell ref="D17:E17"/>
    <mergeCell ref="B21:E21"/>
    <mergeCell ref="B15:C15"/>
    <mergeCell ref="J10:K10"/>
    <mergeCell ref="B13:C13"/>
    <mergeCell ref="B12:C12"/>
    <mergeCell ref="D12:E12"/>
    <mergeCell ref="B14:C14"/>
    <mergeCell ref="D14:E14"/>
    <mergeCell ref="D15:E15"/>
    <mergeCell ref="J12:K12"/>
    <mergeCell ref="J13:K13"/>
    <mergeCell ref="D11:E11"/>
    <mergeCell ref="D10:E10"/>
    <mergeCell ref="J11:K11"/>
    <mergeCell ref="D13:E13"/>
    <mergeCell ref="B7:C8"/>
    <mergeCell ref="D7:E8"/>
    <mergeCell ref="G7:H7"/>
    <mergeCell ref="J7:K7"/>
    <mergeCell ref="B9:C9"/>
    <mergeCell ref="D9:E9"/>
    <mergeCell ref="G9:M9"/>
    <mergeCell ref="B5:C6"/>
    <mergeCell ref="D5:E5"/>
    <mergeCell ref="G5:H5"/>
    <mergeCell ref="J5:K5"/>
    <mergeCell ref="D6:E6"/>
    <mergeCell ref="G6:H6"/>
    <mergeCell ref="J6:K6"/>
    <mergeCell ref="B3:C3"/>
    <mergeCell ref="D3:E3"/>
    <mergeCell ref="G3:H3"/>
    <mergeCell ref="J3:K3"/>
    <mergeCell ref="B4:C4"/>
    <mergeCell ref="D4:E4"/>
    <mergeCell ref="G4:H4"/>
    <mergeCell ref="J4:K4"/>
  </mergeCells>
  <phoneticPr fontId="7" type="noConversion"/>
  <pageMargins left="0.22" right="0.24" top="0.49" bottom="0.25" header="0.3" footer="0.84"/>
  <pageSetup scale="47"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13"/>
  <sheetViews>
    <sheetView showGridLines="0" workbookViewId="0">
      <selection activeCell="M12" sqref="M12"/>
    </sheetView>
  </sheetViews>
  <sheetFormatPr baseColWidth="10" defaultColWidth="10.90625" defaultRowHeight="14.4"/>
  <cols>
    <col min="1" max="1" width="4" style="95" customWidth="1"/>
    <col min="2" max="2" width="3.36328125" style="95" customWidth="1"/>
    <col min="3" max="3" width="24.90625" style="95" customWidth="1"/>
    <col min="4" max="5" width="13.6328125" style="95" customWidth="1"/>
    <col min="6" max="6" width="5" style="95" customWidth="1"/>
    <col min="7" max="7" width="15.08984375" style="95" customWidth="1"/>
    <col min="8" max="8" width="15.453125" style="95" bestFit="1" customWidth="1"/>
    <col min="9" max="9" width="16.81640625" style="95" customWidth="1"/>
    <col min="10" max="10" width="11.36328125" style="95" bestFit="1" customWidth="1"/>
    <col min="11" max="11" width="11.6328125" style="95" bestFit="1" customWidth="1"/>
    <col min="12" max="13" width="12" style="196" customWidth="1"/>
    <col min="14" max="14" width="14.6328125" style="196" customWidth="1"/>
    <col min="15" max="15" width="16.453125" style="196" bestFit="1" customWidth="1"/>
    <col min="16" max="16" width="12" style="196" customWidth="1"/>
    <col min="17" max="20" width="10.90625" style="196"/>
    <col min="21" max="16384" width="10.90625" style="95"/>
  </cols>
  <sheetData>
    <row r="3" spans="2:14">
      <c r="B3" s="303" t="s">
        <v>177</v>
      </c>
      <c r="C3" s="304"/>
      <c r="D3" s="305" t="s">
        <v>268</v>
      </c>
      <c r="E3" s="306"/>
      <c r="G3" s="307" t="s">
        <v>178</v>
      </c>
      <c r="H3" s="307"/>
      <c r="I3" s="231" t="s">
        <v>179</v>
      </c>
      <c r="J3" s="307" t="s">
        <v>180</v>
      </c>
      <c r="K3" s="307"/>
      <c r="L3" s="195" t="s">
        <v>181</v>
      </c>
      <c r="M3" s="98" t="s">
        <v>182</v>
      </c>
      <c r="N3" s="210"/>
    </row>
    <row r="4" spans="2:14">
      <c r="B4" s="308" t="s">
        <v>183</v>
      </c>
      <c r="C4" s="309"/>
      <c r="D4" s="310">
        <v>44166</v>
      </c>
      <c r="E4" s="311"/>
      <c r="G4" s="307" t="s">
        <v>184</v>
      </c>
      <c r="H4" s="307"/>
      <c r="I4" s="232">
        <v>35</v>
      </c>
      <c r="J4" s="330">
        <v>35</v>
      </c>
      <c r="K4" s="330"/>
      <c r="L4" s="197">
        <v>32</v>
      </c>
      <c r="M4" s="100">
        <f>+AVERAGE(I4:L4)</f>
        <v>34</v>
      </c>
      <c r="N4" s="227"/>
    </row>
    <row r="5" spans="2:14">
      <c r="B5" s="313" t="s">
        <v>185</v>
      </c>
      <c r="C5" s="314"/>
      <c r="D5" s="317" t="s">
        <v>186</v>
      </c>
      <c r="E5" s="318"/>
      <c r="G5" s="307" t="s">
        <v>187</v>
      </c>
      <c r="H5" s="307"/>
      <c r="I5" s="232">
        <v>7</v>
      </c>
      <c r="J5" s="330">
        <v>7</v>
      </c>
      <c r="K5" s="330"/>
      <c r="L5" s="197">
        <v>7</v>
      </c>
      <c r="M5" s="100">
        <f t="shared" ref="M5:M6" si="0">+AVERAGE(I5:L5)</f>
        <v>7</v>
      </c>
      <c r="N5" s="227"/>
    </row>
    <row r="6" spans="2:14">
      <c r="B6" s="315"/>
      <c r="C6" s="316"/>
      <c r="D6" s="319" t="s">
        <v>188</v>
      </c>
      <c r="E6" s="320"/>
      <c r="G6" s="307" t="s">
        <v>189</v>
      </c>
      <c r="H6" s="307"/>
      <c r="I6" s="233">
        <f>+I4*I5</f>
        <v>245</v>
      </c>
      <c r="J6" s="321">
        <f>+J4*J5</f>
        <v>245</v>
      </c>
      <c r="K6" s="321"/>
      <c r="L6" s="198">
        <f>+L4*L5</f>
        <v>224</v>
      </c>
      <c r="M6" s="100">
        <f t="shared" si="0"/>
        <v>238</v>
      </c>
      <c r="N6" s="227"/>
    </row>
    <row r="7" spans="2:14">
      <c r="B7" s="393" t="s">
        <v>190</v>
      </c>
      <c r="C7" s="323"/>
      <c r="D7" s="326">
        <v>200000000</v>
      </c>
      <c r="E7" s="327"/>
      <c r="G7" s="307" t="s">
        <v>191</v>
      </c>
      <c r="H7" s="307"/>
      <c r="I7" s="232">
        <f>+I6*I11</f>
        <v>4981.6666666666661</v>
      </c>
      <c r="J7" s="330">
        <f>+J6*J11</f>
        <v>743.16666666666663</v>
      </c>
      <c r="K7" s="330"/>
      <c r="L7" s="197">
        <f>+L6*L11</f>
        <v>719.04</v>
      </c>
      <c r="M7" s="100">
        <f>+SUM(I7:L7)</f>
        <v>6443.873333333333</v>
      </c>
      <c r="N7" s="228"/>
    </row>
    <row r="8" spans="2:14">
      <c r="B8" s="324"/>
      <c r="C8" s="325"/>
      <c r="D8" s="328"/>
      <c r="E8" s="329"/>
      <c r="G8" s="96"/>
      <c r="H8" s="96"/>
      <c r="I8" s="96"/>
      <c r="N8" s="229"/>
    </row>
    <row r="9" spans="2:14">
      <c r="B9" s="331" t="s">
        <v>192</v>
      </c>
      <c r="C9" s="332"/>
      <c r="D9" s="333" t="s">
        <v>269</v>
      </c>
      <c r="E9" s="334"/>
      <c r="G9" s="335" t="s">
        <v>193</v>
      </c>
      <c r="H9" s="336"/>
      <c r="I9" s="336"/>
      <c r="J9" s="336"/>
      <c r="K9" s="336"/>
      <c r="L9" s="336"/>
      <c r="M9" s="337"/>
      <c r="N9" s="226"/>
    </row>
    <row r="10" spans="2:14">
      <c r="B10" s="244"/>
      <c r="C10" s="245" t="s">
        <v>271</v>
      </c>
      <c r="D10" s="351">
        <v>600</v>
      </c>
      <c r="E10" s="352"/>
      <c r="G10" s="231"/>
      <c r="H10" s="235"/>
      <c r="I10" s="231" t="s">
        <v>179</v>
      </c>
      <c r="J10" s="335" t="s">
        <v>180</v>
      </c>
      <c r="K10" s="337"/>
      <c r="L10" s="195" t="s">
        <v>181</v>
      </c>
      <c r="M10" s="98" t="s">
        <v>182</v>
      </c>
      <c r="N10" s="226"/>
    </row>
    <row r="11" spans="2:14">
      <c r="B11" s="246"/>
      <c r="C11" s="247" t="s">
        <v>270</v>
      </c>
      <c r="D11" s="349">
        <v>130000</v>
      </c>
      <c r="E11" s="350"/>
      <c r="G11" s="231" t="s">
        <v>194</v>
      </c>
      <c r="H11" s="235"/>
      <c r="I11" s="233">
        <f>+K16</f>
        <v>20.333333333333332</v>
      </c>
      <c r="J11" s="347">
        <f>+K17</f>
        <v>3.0333333333333332</v>
      </c>
      <c r="K11" s="337"/>
      <c r="L11" s="198">
        <f>+K18+K19</f>
        <v>3.21</v>
      </c>
      <c r="M11" s="242">
        <f>+SUM(I11:L11)</f>
        <v>26.576666666666668</v>
      </c>
      <c r="N11" s="226"/>
    </row>
    <row r="12" spans="2:14">
      <c r="B12" s="324" t="s">
        <v>195</v>
      </c>
      <c r="C12" s="325"/>
      <c r="D12" s="339">
        <f>+CCPP!B17</f>
        <v>0.11088207907284103</v>
      </c>
      <c r="E12" s="340"/>
      <c r="G12" s="231" t="s">
        <v>196</v>
      </c>
      <c r="H12" s="231"/>
      <c r="I12" s="238">
        <f>+($D$11/$D$10)*I16</f>
        <v>216.66666666666666</v>
      </c>
      <c r="J12" s="345">
        <f>+($D$11/$D$10)*I17</f>
        <v>151.66666666666666</v>
      </c>
      <c r="K12" s="346"/>
      <c r="L12" s="218">
        <f>+($D$11/$D$10)*AVERAGE(I18:I19)</f>
        <v>109.41666666666666</v>
      </c>
      <c r="M12" s="102">
        <f>+(I12*'$ porcentuales'!B7)+('TARIFA TPC 2022'!J12*'$ porcentuales'!C7)+('TARIFA TPC 2022'!L12*'$ porcentuales'!D7)</f>
        <v>201.18203602087598</v>
      </c>
    </row>
    <row r="13" spans="2:14">
      <c r="B13" s="331" t="s">
        <v>252</v>
      </c>
      <c r="C13" s="338"/>
      <c r="D13" s="353">
        <v>15</v>
      </c>
      <c r="E13" s="344"/>
      <c r="G13" s="231" t="s">
        <v>198</v>
      </c>
      <c r="H13" s="235"/>
      <c r="I13" s="233">
        <f>+I11*I12</f>
        <v>4405.5555555555547</v>
      </c>
      <c r="J13" s="347">
        <f>+J12*J11</f>
        <v>460.05555555555549</v>
      </c>
      <c r="K13" s="348"/>
      <c r="L13" s="198">
        <f>+L12*L11</f>
        <v>351.22749999999996</v>
      </c>
      <c r="M13" s="100">
        <f>+SUM(I13:L13)</f>
        <v>5216.8386111111104</v>
      </c>
    </row>
    <row r="14" spans="2:14">
      <c r="B14" s="324" t="s">
        <v>197</v>
      </c>
      <c r="C14" s="325"/>
      <c r="D14" s="341">
        <v>0</v>
      </c>
      <c r="E14" s="342"/>
      <c r="L14" s="95"/>
      <c r="M14" s="95"/>
    </row>
    <row r="15" spans="2:14">
      <c r="B15" s="331" t="s">
        <v>253</v>
      </c>
      <c r="C15" s="338"/>
      <c r="D15" s="343">
        <v>0.1</v>
      </c>
      <c r="E15" s="344"/>
      <c r="G15" s="231" t="s">
        <v>272</v>
      </c>
      <c r="H15" s="231" t="s">
        <v>273</v>
      </c>
      <c r="I15" s="231" t="s">
        <v>274</v>
      </c>
      <c r="J15" s="231" t="s">
        <v>275</v>
      </c>
      <c r="K15" s="231" t="s">
        <v>276</v>
      </c>
      <c r="L15" s="95"/>
      <c r="M15" s="243"/>
    </row>
    <row r="16" spans="2:14">
      <c r="B16" s="354" t="s">
        <v>199</v>
      </c>
      <c r="C16" s="355"/>
      <c r="D16" s="356">
        <f>+((D7*(1+D12)^D13*D12)-((D7*D15)*D12))/((1+D12)^D13-1)</f>
        <v>27371388.617682863</v>
      </c>
      <c r="E16" s="357"/>
      <c r="G16" s="231" t="s">
        <v>277</v>
      </c>
      <c r="H16" s="231">
        <v>244</v>
      </c>
      <c r="I16" s="241">
        <v>1</v>
      </c>
      <c r="J16" s="231">
        <f>+H16*I16</f>
        <v>244</v>
      </c>
      <c r="K16" s="233">
        <f>+J16/12</f>
        <v>20.333333333333332</v>
      </c>
      <c r="L16" s="95"/>
      <c r="M16" s="243"/>
    </row>
    <row r="17" spans="2:17">
      <c r="B17" s="335" t="s">
        <v>200</v>
      </c>
      <c r="C17" s="358"/>
      <c r="D17" s="359">
        <v>20</v>
      </c>
      <c r="E17" s="360"/>
      <c r="G17" s="231" t="s">
        <v>278</v>
      </c>
      <c r="H17" s="231">
        <v>52</v>
      </c>
      <c r="I17" s="241">
        <v>0.7</v>
      </c>
      <c r="J17" s="231">
        <f>+H17*I17</f>
        <v>36.4</v>
      </c>
      <c r="K17" s="233">
        <f t="shared" ref="K17:K18" si="1">+J17/12</f>
        <v>3.0333333333333332</v>
      </c>
      <c r="L17" s="199"/>
      <c r="M17" s="104"/>
    </row>
    <row r="18" spans="2:17">
      <c r="G18" s="231" t="s">
        <v>262</v>
      </c>
      <c r="H18" s="231">
        <v>52</v>
      </c>
      <c r="I18" s="241">
        <v>0.61</v>
      </c>
      <c r="J18" s="231">
        <f t="shared" ref="J18" si="2">+H18*I18</f>
        <v>31.72</v>
      </c>
      <c r="K18" s="233">
        <f t="shared" si="1"/>
        <v>2.6433333333333331</v>
      </c>
    </row>
    <row r="19" spans="2:17">
      <c r="G19" s="231" t="s">
        <v>279</v>
      </c>
      <c r="H19" s="231">
        <v>17</v>
      </c>
      <c r="I19" s="241">
        <v>0.4</v>
      </c>
      <c r="J19" s="231">
        <f>+H19*I19</f>
        <v>6.8000000000000007</v>
      </c>
      <c r="K19" s="233">
        <f>+J19/12</f>
        <v>0.56666666666666676</v>
      </c>
    </row>
    <row r="20" spans="2:17">
      <c r="G20" s="231" t="s">
        <v>280</v>
      </c>
      <c r="H20" s="231">
        <f>+SUM(H16:H19)</f>
        <v>365</v>
      </c>
      <c r="I20" s="240"/>
      <c r="J20" s="231">
        <f>+SUM(J16:J19)</f>
        <v>318.92</v>
      </c>
      <c r="K20" s="242">
        <f>+SUM(K16:K19)</f>
        <v>26.576666666666668</v>
      </c>
    </row>
    <row r="21" spans="2:17">
      <c r="B21" s="307" t="s">
        <v>201</v>
      </c>
      <c r="C21" s="307"/>
      <c r="D21" s="307"/>
      <c r="E21" s="307"/>
    </row>
    <row r="22" spans="2:17" ht="15" customHeight="1">
      <c r="B22" s="393" t="s">
        <v>202</v>
      </c>
      <c r="C22" s="394"/>
      <c r="D22" s="398" t="s">
        <v>203</v>
      </c>
      <c r="E22" s="399" t="s">
        <v>204</v>
      </c>
      <c r="G22" s="237" t="s">
        <v>205</v>
      </c>
      <c r="H22" s="380" t="s">
        <v>206</v>
      </c>
      <c r="I22" s="237"/>
      <c r="J22" s="383" t="s">
        <v>207</v>
      </c>
      <c r="K22" s="234"/>
      <c r="L22" s="200"/>
      <c r="O22" s="200"/>
      <c r="P22" s="200"/>
    </row>
    <row r="23" spans="2:17">
      <c r="B23" s="324"/>
      <c r="C23" s="395"/>
      <c r="D23" s="398"/>
      <c r="E23" s="399"/>
      <c r="G23" s="107" t="s">
        <v>208</v>
      </c>
      <c r="H23" s="381"/>
      <c r="I23" s="107" t="s">
        <v>209</v>
      </c>
      <c r="J23" s="384"/>
      <c r="K23" s="234"/>
      <c r="L23" s="200"/>
      <c r="O23" s="200"/>
      <c r="P23" s="200"/>
    </row>
    <row r="24" spans="2:17">
      <c r="B24" s="324"/>
      <c r="C24" s="395"/>
      <c r="D24" s="398"/>
      <c r="E24" s="399"/>
      <c r="G24" s="107">
        <v>1</v>
      </c>
      <c r="H24" s="381"/>
      <c r="I24" s="107" t="s">
        <v>210</v>
      </c>
      <c r="J24" s="384"/>
      <c r="K24" s="234"/>
      <c r="L24" s="200"/>
      <c r="O24" s="200"/>
      <c r="P24" s="200"/>
    </row>
    <row r="25" spans="2:17">
      <c r="B25" s="396"/>
      <c r="C25" s="397"/>
      <c r="D25" s="398"/>
      <c r="E25" s="399"/>
      <c r="G25" s="108">
        <v>0</v>
      </c>
      <c r="H25" s="382"/>
      <c r="I25" s="108"/>
      <c r="J25" s="385"/>
      <c r="K25" s="234"/>
      <c r="L25" s="239"/>
      <c r="O25" s="200"/>
      <c r="P25" s="200"/>
    </row>
    <row r="26" spans="2:17">
      <c r="L26" s="239"/>
      <c r="O26" s="200"/>
    </row>
    <row r="27" spans="2:17" ht="15" customHeight="1">
      <c r="B27" s="386" t="s">
        <v>211</v>
      </c>
      <c r="C27" s="387"/>
      <c r="D27" s="387"/>
      <c r="E27" s="387"/>
      <c r="F27" s="387"/>
      <c r="G27" s="387"/>
      <c r="H27" s="387"/>
      <c r="I27" s="387"/>
      <c r="J27" s="388"/>
      <c r="K27" s="109"/>
      <c r="L27" s="239"/>
      <c r="O27" s="200"/>
      <c r="P27" s="109"/>
      <c r="Q27" s="201"/>
    </row>
    <row r="28" spans="2:17" ht="15.75" customHeight="1" thickBot="1">
      <c r="B28" s="389"/>
      <c r="C28" s="390"/>
      <c r="D28" s="390"/>
      <c r="E28" s="390"/>
      <c r="F28" s="390"/>
      <c r="G28" s="390"/>
      <c r="H28" s="390"/>
      <c r="I28" s="390"/>
      <c r="J28" s="391"/>
      <c r="K28" s="109"/>
      <c r="L28" s="109"/>
      <c r="O28" s="109"/>
      <c r="P28" s="109"/>
      <c r="Q28" s="201"/>
    </row>
    <row r="29" spans="2:17" ht="15" thickTop="1"/>
    <row r="30" spans="2:17">
      <c r="B30" s="392" t="s">
        <v>212</v>
      </c>
      <c r="C30" s="392"/>
      <c r="D30" s="231"/>
      <c r="E30" s="231"/>
      <c r="G30" s="110"/>
      <c r="H30" s="111">
        <f>+H31</f>
        <v>546.17647058823536</v>
      </c>
      <c r="I30" s="110">
        <f>+I31</f>
        <v>3519491.9941176469</v>
      </c>
      <c r="J30" s="112">
        <f>+H30/H104</f>
        <v>0.25093549897618861</v>
      </c>
      <c r="L30" s="200"/>
      <c r="O30" s="200"/>
      <c r="P30" s="203"/>
    </row>
    <row r="31" spans="2:17">
      <c r="B31" s="190"/>
      <c r="C31" s="189" t="s">
        <v>213</v>
      </c>
      <c r="D31" s="231">
        <v>1</v>
      </c>
      <c r="E31" s="231">
        <v>17</v>
      </c>
      <c r="G31" s="110">
        <v>9285</v>
      </c>
      <c r="H31" s="111">
        <f>+I31/M7</f>
        <v>546.17647058823536</v>
      </c>
      <c r="I31" s="110">
        <f>+(M7*G31)/E31</f>
        <v>3519491.9941176469</v>
      </c>
      <c r="J31" s="191"/>
      <c r="L31" s="200"/>
      <c r="O31" s="204"/>
      <c r="P31" s="201"/>
    </row>
    <row r="32" spans="2:17">
      <c r="L32" s="201"/>
      <c r="O32" s="201"/>
      <c r="P32" s="201"/>
    </row>
    <row r="33" spans="2:16">
      <c r="B33" s="392" t="s">
        <v>214</v>
      </c>
      <c r="C33" s="392"/>
      <c r="D33" s="237"/>
      <c r="E33" s="237"/>
      <c r="G33" s="118"/>
      <c r="H33" s="249">
        <f>+SUM(H34:H45)</f>
        <v>42.968016907015553</v>
      </c>
      <c r="I33" s="118">
        <f>+SUM(I34:I45)</f>
        <v>276880.45833333337</v>
      </c>
      <c r="J33" s="112">
        <f>+H33/H104</f>
        <v>1.97412399530261E-2</v>
      </c>
      <c r="L33" s="200"/>
      <c r="O33" s="200"/>
      <c r="P33" s="203"/>
    </row>
    <row r="34" spans="2:16">
      <c r="B34" s="114"/>
      <c r="C34" s="115" t="s">
        <v>215</v>
      </c>
      <c r="D34" s="237">
        <v>6</v>
      </c>
      <c r="E34" s="117">
        <f>+M7</f>
        <v>6443.873333333333</v>
      </c>
      <c r="G34" s="118">
        <v>15400</v>
      </c>
      <c r="H34" s="119">
        <f t="shared" ref="H34:H40" si="3">+I34/$M$7</f>
        <v>14.339201784434001</v>
      </c>
      <c r="I34" s="220">
        <f t="shared" ref="I34:I41" si="4">+(D34*G34)*$M$7/E34</f>
        <v>92400</v>
      </c>
      <c r="J34" s="103"/>
      <c r="K34" s="192"/>
      <c r="L34" s="200"/>
      <c r="O34" s="207"/>
      <c r="P34" s="201"/>
    </row>
    <row r="35" spans="2:16">
      <c r="B35" s="121"/>
      <c r="C35" s="248" t="s">
        <v>281</v>
      </c>
      <c r="D35" s="107">
        <v>6</v>
      </c>
      <c r="E35" s="124">
        <f>+$M$7*4</f>
        <v>25775.493333333332</v>
      </c>
      <c r="G35" s="125">
        <v>16000</v>
      </c>
      <c r="H35" s="126">
        <f t="shared" si="3"/>
        <v>3.7244679959568834</v>
      </c>
      <c r="I35" s="221">
        <f t="shared" si="4"/>
        <v>24000</v>
      </c>
      <c r="J35" s="103"/>
      <c r="K35" s="192"/>
      <c r="L35" s="200"/>
      <c r="O35" s="207"/>
      <c r="P35" s="201"/>
    </row>
    <row r="36" spans="2:16">
      <c r="B36" s="121"/>
      <c r="C36" s="248" t="s">
        <v>282</v>
      </c>
      <c r="D36" s="107">
        <v>4.3</v>
      </c>
      <c r="E36" s="124">
        <f>+$M$7*4</f>
        <v>25775.493333333332</v>
      </c>
      <c r="G36" s="125">
        <v>16000</v>
      </c>
      <c r="H36" s="126">
        <f t="shared" si="3"/>
        <v>2.6692020637690996</v>
      </c>
      <c r="I36" s="221">
        <f t="shared" si="4"/>
        <v>17200</v>
      </c>
      <c r="J36" s="103"/>
      <c r="K36" s="192"/>
      <c r="L36" s="200"/>
      <c r="O36" s="207"/>
      <c r="P36" s="201"/>
    </row>
    <row r="37" spans="2:16">
      <c r="B37" s="121"/>
      <c r="C37" s="248" t="s">
        <v>283</v>
      </c>
      <c r="D37" s="107">
        <v>2</v>
      </c>
      <c r="E37" s="124">
        <f>+$M$7*10</f>
        <v>64438.73333333333</v>
      </c>
      <c r="G37" s="125">
        <v>11150</v>
      </c>
      <c r="H37" s="126">
        <f t="shared" si="3"/>
        <v>0.34606515129099374</v>
      </c>
      <c r="I37" s="221">
        <f t="shared" si="4"/>
        <v>2230</v>
      </c>
      <c r="J37" s="103"/>
      <c r="K37" s="192"/>
      <c r="L37" s="200"/>
      <c r="O37" s="207"/>
      <c r="P37" s="201"/>
    </row>
    <row r="38" spans="2:16">
      <c r="B38" s="121"/>
      <c r="C38" s="248" t="s">
        <v>284</v>
      </c>
      <c r="D38" s="107">
        <v>1</v>
      </c>
      <c r="E38" s="124">
        <f>+$M$7*16</f>
        <v>103101.97333333333</v>
      </c>
      <c r="G38" s="125">
        <v>11150</v>
      </c>
      <c r="H38" s="126">
        <f t="shared" si="3"/>
        <v>0.10814535977843552</v>
      </c>
      <c r="I38" s="221">
        <f t="shared" si="4"/>
        <v>696.87499999999989</v>
      </c>
      <c r="J38" s="103"/>
      <c r="K38" s="192"/>
      <c r="L38" s="200"/>
      <c r="O38" s="207"/>
      <c r="P38" s="201"/>
    </row>
    <row r="39" spans="2:16">
      <c r="B39" s="121"/>
      <c r="C39" s="248" t="s">
        <v>285</v>
      </c>
      <c r="D39" s="107">
        <v>1</v>
      </c>
      <c r="E39" s="124">
        <f>+$M$7*12</f>
        <v>77326.48</v>
      </c>
      <c r="G39" s="125">
        <v>495000</v>
      </c>
      <c r="H39" s="126">
        <f t="shared" si="3"/>
        <v>6.4014293680508931</v>
      </c>
      <c r="I39" s="221">
        <f t="shared" si="4"/>
        <v>41250</v>
      </c>
      <c r="J39" s="103"/>
      <c r="K39" s="192"/>
      <c r="L39" s="200"/>
      <c r="O39" s="207"/>
      <c r="P39" s="201"/>
    </row>
    <row r="40" spans="2:16">
      <c r="B40" s="121"/>
      <c r="C40" s="248" t="s">
        <v>286</v>
      </c>
      <c r="D40" s="107">
        <v>1</v>
      </c>
      <c r="E40" s="124">
        <f>+$M$7*6</f>
        <v>38663.24</v>
      </c>
      <c r="G40" s="125">
        <v>77000</v>
      </c>
      <c r="H40" s="126">
        <f t="shared" si="3"/>
        <v>1.9915558033936109</v>
      </c>
      <c r="I40" s="221">
        <f t="shared" si="4"/>
        <v>12833.333333333332</v>
      </c>
      <c r="J40" s="103"/>
      <c r="K40" s="192"/>
      <c r="L40" s="200"/>
      <c r="O40" s="207"/>
      <c r="P40" s="201"/>
    </row>
    <row r="41" spans="2:16">
      <c r="B41" s="121"/>
      <c r="C41" s="122" t="s">
        <v>216</v>
      </c>
      <c r="D41" s="107">
        <v>14</v>
      </c>
      <c r="E41" s="124">
        <f>+$E$34*12</f>
        <v>77326.48</v>
      </c>
      <c r="G41" s="125">
        <v>8345</v>
      </c>
      <c r="H41" s="126">
        <f t="shared" ref="H41:H45" si="5">+I41/$M$7</f>
        <v>1.510866652665426</v>
      </c>
      <c r="I41" s="221">
        <f t="shared" si="4"/>
        <v>9735.8333333333339</v>
      </c>
      <c r="J41" s="193"/>
      <c r="L41" s="200"/>
      <c r="O41" s="207"/>
      <c r="P41" s="201"/>
    </row>
    <row r="42" spans="2:16">
      <c r="B42" s="121"/>
      <c r="C42" s="122" t="s">
        <v>217</v>
      </c>
      <c r="D42" s="107">
        <v>1</v>
      </c>
      <c r="E42" s="124">
        <f>+$E$34*12</f>
        <v>77326.48</v>
      </c>
      <c r="G42" s="125">
        <v>6413</v>
      </c>
      <c r="H42" s="126">
        <f t="shared" si="5"/>
        <v>8.2934073812748255E-2</v>
      </c>
      <c r="I42" s="221">
        <f t="shared" ref="I42:I45" si="6">+(D42*G42)*$M$7/E42</f>
        <v>534.41666666666674</v>
      </c>
      <c r="J42" s="103"/>
      <c r="L42" s="200"/>
      <c r="O42" s="207"/>
      <c r="P42" s="201"/>
    </row>
    <row r="43" spans="2:16">
      <c r="B43" s="121"/>
      <c r="C43" s="122" t="s">
        <v>218</v>
      </c>
      <c r="D43" s="107">
        <v>1</v>
      </c>
      <c r="E43" s="124">
        <f>+E34</f>
        <v>6443.873333333333</v>
      </c>
      <c r="G43" s="125">
        <v>35000</v>
      </c>
      <c r="H43" s="126">
        <f t="shared" si="5"/>
        <v>5.4315158274371216</v>
      </c>
      <c r="I43" s="221">
        <f t="shared" si="6"/>
        <v>35000</v>
      </c>
      <c r="J43" s="103"/>
      <c r="L43" s="200"/>
      <c r="O43" s="207"/>
      <c r="P43" s="201"/>
    </row>
    <row r="44" spans="2:16">
      <c r="B44" s="121"/>
      <c r="C44" s="122" t="s">
        <v>219</v>
      </c>
      <c r="D44" s="107">
        <v>2</v>
      </c>
      <c r="E44" s="124">
        <f>+E34</f>
        <v>6443.873333333333</v>
      </c>
      <c r="G44" s="125">
        <v>13500</v>
      </c>
      <c r="H44" s="126">
        <f t="shared" si="5"/>
        <v>4.1900264954514936</v>
      </c>
      <c r="I44" s="221">
        <f t="shared" si="6"/>
        <v>27000</v>
      </c>
      <c r="J44" s="103"/>
      <c r="L44" s="200"/>
      <c r="O44" s="207"/>
      <c r="P44" s="201"/>
    </row>
    <row r="45" spans="2:16">
      <c r="B45" s="128"/>
      <c r="C45" s="129" t="s">
        <v>220</v>
      </c>
      <c r="D45" s="108">
        <v>1</v>
      </c>
      <c r="E45" s="131">
        <f>+E34*3</f>
        <v>19331.62</v>
      </c>
      <c r="F45" s="194"/>
      <c r="G45" s="132">
        <v>42000</v>
      </c>
      <c r="H45" s="133">
        <f t="shared" si="5"/>
        <v>2.1726063309748485</v>
      </c>
      <c r="I45" s="222">
        <f t="shared" si="6"/>
        <v>14000</v>
      </c>
      <c r="J45" s="103"/>
      <c r="L45" s="200"/>
      <c r="O45" s="207"/>
      <c r="P45" s="201"/>
    </row>
    <row r="46" spans="2:16">
      <c r="L46" s="201"/>
      <c r="O46" s="201"/>
      <c r="P46" s="201"/>
    </row>
    <row r="47" spans="2:16">
      <c r="B47" s="392" t="s">
        <v>221</v>
      </c>
      <c r="C47" s="392"/>
      <c r="D47" s="237"/>
      <c r="E47" s="237"/>
      <c r="G47" s="118"/>
      <c r="H47" s="249">
        <f>+SUM(H48:H51)</f>
        <v>78.469885089816572</v>
      </c>
      <c r="I47" s="118">
        <f>+SUM(I48:I51)</f>
        <v>505650</v>
      </c>
      <c r="J47" s="112">
        <f>+H47/H104</f>
        <v>3.6052230057457633E-2</v>
      </c>
      <c r="L47" s="200"/>
      <c r="O47" s="200"/>
      <c r="P47" s="203"/>
    </row>
    <row r="48" spans="2:16">
      <c r="B48" s="114"/>
      <c r="C48" s="115" t="s">
        <v>222</v>
      </c>
      <c r="D48" s="237">
        <v>6</v>
      </c>
      <c r="E48" s="117">
        <f>+$E$34*6</f>
        <v>38663.24</v>
      </c>
      <c r="G48" s="250">
        <v>475000</v>
      </c>
      <c r="H48" s="251">
        <f>+I48/$M$7</f>
        <v>73.713429086646642</v>
      </c>
      <c r="I48" s="256">
        <f>+(D48*G48)*$M$7/E48</f>
        <v>475000</v>
      </c>
      <c r="J48" s="103"/>
      <c r="L48" s="200"/>
      <c r="O48" s="207"/>
      <c r="P48" s="201"/>
    </row>
    <row r="49" spans="2:16">
      <c r="B49" s="121"/>
      <c r="C49" s="122" t="s">
        <v>223</v>
      </c>
      <c r="D49" s="107">
        <v>6</v>
      </c>
      <c r="E49" s="124">
        <f>+E34*6</f>
        <v>38663.24</v>
      </c>
      <c r="G49" s="253">
        <v>20650</v>
      </c>
      <c r="H49" s="254">
        <f t="shared" ref="H49:H51" si="7">+I49/$M$7</f>
        <v>3.2045943381879018</v>
      </c>
      <c r="I49" s="259">
        <f t="shared" ref="I49:I51" si="8">+(D49*G49)*$M$7/E49</f>
        <v>20650</v>
      </c>
      <c r="J49" s="103"/>
      <c r="L49" s="200"/>
      <c r="O49" s="207"/>
      <c r="P49" s="201"/>
    </row>
    <row r="50" spans="2:16">
      <c r="B50" s="121"/>
      <c r="C50" s="248" t="s">
        <v>287</v>
      </c>
      <c r="D50" s="107">
        <v>1</v>
      </c>
      <c r="E50" s="124">
        <f>+$M$7*6</f>
        <v>38663.24</v>
      </c>
      <c r="G50" s="253">
        <v>30000</v>
      </c>
      <c r="H50" s="254">
        <f>+I50/$M$7</f>
        <v>0.77593083249101735</v>
      </c>
      <c r="I50" s="259">
        <f>+(D50*G50)*$M$7/E50</f>
        <v>5000</v>
      </c>
      <c r="J50" s="103"/>
      <c r="L50" s="200"/>
      <c r="O50" s="207"/>
      <c r="P50" s="201"/>
    </row>
    <row r="51" spans="2:16">
      <c r="B51" s="128"/>
      <c r="C51" s="129" t="s">
        <v>224</v>
      </c>
      <c r="D51" s="108">
        <v>6</v>
      </c>
      <c r="E51" s="131">
        <f>+E34*6</f>
        <v>38663.24</v>
      </c>
      <c r="G51" s="257">
        <v>5000</v>
      </c>
      <c r="H51" s="258">
        <f t="shared" si="7"/>
        <v>0.77593083249101735</v>
      </c>
      <c r="I51" s="260">
        <f t="shared" si="8"/>
        <v>5000</v>
      </c>
      <c r="J51" s="103"/>
      <c r="L51" s="200"/>
      <c r="M51" s="202"/>
      <c r="N51" s="206"/>
      <c r="O51" s="207"/>
      <c r="P51" s="201"/>
    </row>
    <row r="52" spans="2:16">
      <c r="L52" s="201"/>
      <c r="M52" s="201"/>
      <c r="N52" s="201"/>
      <c r="O52" s="201"/>
      <c r="P52" s="201"/>
    </row>
    <row r="53" spans="2:16">
      <c r="B53" s="379" t="s">
        <v>225</v>
      </c>
      <c r="C53" s="379"/>
      <c r="D53" s="231"/>
      <c r="E53" s="231"/>
      <c r="G53" s="110"/>
      <c r="H53" s="219">
        <f>+SUM(H54:H59)</f>
        <v>36.249408407927191</v>
      </c>
      <c r="I53" s="110">
        <f>+SUM(I54:I59)</f>
        <v>233586.59618895111</v>
      </c>
      <c r="J53" s="112">
        <f>+H53/H104</f>
        <v>1.665444023364486E-2</v>
      </c>
      <c r="L53" s="200"/>
      <c r="M53" s="202"/>
      <c r="N53" s="205"/>
      <c r="O53" s="200"/>
      <c r="P53" s="203"/>
    </row>
    <row r="54" spans="2:16">
      <c r="B54" s="114"/>
      <c r="C54" s="115" t="s">
        <v>226</v>
      </c>
      <c r="D54" s="116">
        <v>10</v>
      </c>
      <c r="E54" s="117">
        <f>+$M$13*6</f>
        <v>31301.031666666662</v>
      </c>
      <c r="G54" s="118">
        <v>4000</v>
      </c>
      <c r="H54" s="119">
        <f>+I54/$M$7</f>
        <v>1.2779131507859247</v>
      </c>
      <c r="I54" s="120">
        <f>+(D54*G54)*$M$7/E54</f>
        <v>8234.7104746653986</v>
      </c>
      <c r="J54" s="103"/>
      <c r="L54" s="200"/>
      <c r="M54" s="202"/>
      <c r="N54" s="206"/>
      <c r="O54" s="207"/>
      <c r="P54" s="201"/>
    </row>
    <row r="55" spans="2:16">
      <c r="B55" s="121"/>
      <c r="C55" s="122" t="s">
        <v>227</v>
      </c>
      <c r="D55" s="236">
        <v>1</v>
      </c>
      <c r="E55" s="124">
        <f>+I6</f>
        <v>245</v>
      </c>
      <c r="G55" s="125">
        <v>7800</v>
      </c>
      <c r="H55" s="126">
        <f t="shared" ref="H55:H59" si="9">+I55/$M$7</f>
        <v>31.836734693877553</v>
      </c>
      <c r="I55" s="127">
        <f>+(D55*G55)*$M$7/E55</f>
        <v>205151.88571428572</v>
      </c>
      <c r="J55" s="103"/>
      <c r="L55" s="200"/>
      <c r="M55" s="202"/>
      <c r="N55" s="206"/>
      <c r="O55" s="207"/>
      <c r="P55" s="201"/>
    </row>
    <row r="56" spans="2:16">
      <c r="B56" s="121"/>
      <c r="C56" s="122" t="s">
        <v>228</v>
      </c>
      <c r="D56" s="236">
        <v>1</v>
      </c>
      <c r="E56" s="124">
        <f>+E34</f>
        <v>6443.873333333333</v>
      </c>
      <c r="G56" s="125">
        <v>5150</v>
      </c>
      <c r="H56" s="126">
        <f t="shared" si="9"/>
        <v>0.79920875746574782</v>
      </c>
      <c r="I56" s="127">
        <f t="shared" ref="I56:I59" si="10">+(D56*G56)*$M$7/E56</f>
        <v>5150</v>
      </c>
      <c r="J56" s="103"/>
      <c r="L56" s="200"/>
      <c r="M56" s="202"/>
      <c r="N56" s="206"/>
      <c r="O56" s="207"/>
      <c r="P56" s="201"/>
    </row>
    <row r="57" spans="2:16">
      <c r="B57" s="121"/>
      <c r="C57" s="122" t="s">
        <v>229</v>
      </c>
      <c r="D57" s="236">
        <v>1</v>
      </c>
      <c r="E57" s="124">
        <f>+E56</f>
        <v>6443.873333333333</v>
      </c>
      <c r="G57" s="125">
        <v>6700</v>
      </c>
      <c r="H57" s="126">
        <f t="shared" si="9"/>
        <v>1.0397473155379633</v>
      </c>
      <c r="I57" s="127">
        <f t="shared" si="10"/>
        <v>6700</v>
      </c>
      <c r="J57" s="103"/>
      <c r="L57" s="200"/>
      <c r="M57" s="202"/>
      <c r="N57" s="206"/>
      <c r="O57" s="207"/>
      <c r="P57" s="201"/>
    </row>
    <row r="58" spans="2:16">
      <c r="B58" s="121"/>
      <c r="C58" s="122" t="s">
        <v>230</v>
      </c>
      <c r="D58" s="236">
        <v>1</v>
      </c>
      <c r="E58" s="124">
        <f>+E57</f>
        <v>6443.873333333333</v>
      </c>
      <c r="G58" s="125">
        <v>8350</v>
      </c>
      <c r="H58" s="126">
        <f t="shared" si="9"/>
        <v>1.295804490259999</v>
      </c>
      <c r="I58" s="127">
        <f t="shared" si="10"/>
        <v>8350</v>
      </c>
      <c r="J58" s="103"/>
      <c r="L58" s="200"/>
      <c r="M58" s="202"/>
      <c r="N58" s="206"/>
      <c r="O58" s="207"/>
      <c r="P58" s="201"/>
    </row>
    <row r="59" spans="2:16">
      <c r="B59" s="128"/>
      <c r="C59" s="129" t="s">
        <v>231</v>
      </c>
      <c r="D59" s="130">
        <v>1</v>
      </c>
      <c r="E59" s="131">
        <f>+E58*2</f>
        <v>12887.746666666666</v>
      </c>
      <c r="G59" s="132">
        <v>0</v>
      </c>
      <c r="H59" s="133">
        <f t="shared" si="9"/>
        <v>0</v>
      </c>
      <c r="I59" s="134">
        <f t="shared" si="10"/>
        <v>0</v>
      </c>
      <c r="J59" s="103"/>
      <c r="L59" s="200"/>
      <c r="M59" s="202"/>
      <c r="N59" s="206"/>
      <c r="O59" s="207"/>
      <c r="P59" s="201"/>
    </row>
    <row r="60" spans="2:16">
      <c r="L60" s="201"/>
      <c r="M60" s="201"/>
      <c r="N60" s="201"/>
      <c r="O60" s="201"/>
      <c r="P60" s="201"/>
    </row>
    <row r="61" spans="2:16">
      <c r="B61" s="392" t="s">
        <v>232</v>
      </c>
      <c r="C61" s="392"/>
      <c r="D61" s="237"/>
      <c r="E61" s="237"/>
      <c r="G61" s="118"/>
      <c r="H61" s="249">
        <f>+SUM(H62:H70)</f>
        <v>334.73801939393547</v>
      </c>
      <c r="I61" s="118">
        <f>+SUM(I62:I70)</f>
        <v>2157009.3968253965</v>
      </c>
      <c r="J61" s="135">
        <f>+H61/H104</f>
        <v>0.15379214676247829</v>
      </c>
      <c r="L61" s="200"/>
      <c r="M61" s="202"/>
      <c r="N61" s="205"/>
      <c r="O61" s="200"/>
      <c r="P61" s="203"/>
    </row>
    <row r="62" spans="2:16">
      <c r="B62" s="114"/>
      <c r="C62" s="261" t="s">
        <v>288</v>
      </c>
      <c r="D62" s="237">
        <v>1</v>
      </c>
      <c r="E62" s="263">
        <f>+$M$7*80</f>
        <v>515509.86666666664</v>
      </c>
      <c r="G62" s="250">
        <v>8000000</v>
      </c>
      <c r="H62" s="251">
        <f t="shared" ref="H62:H69" si="11">+I62/$M$7</f>
        <v>15.518616649820347</v>
      </c>
      <c r="I62" s="252">
        <f t="shared" ref="I62:I69" si="12">+(D62*G62)*$M$7/E62</f>
        <v>100000</v>
      </c>
      <c r="J62" s="103"/>
      <c r="L62" s="200"/>
      <c r="M62" s="202"/>
      <c r="N62" s="206"/>
      <c r="O62" s="207"/>
      <c r="P62" s="201"/>
    </row>
    <row r="63" spans="2:16">
      <c r="B63" s="121"/>
      <c r="C63" s="262" t="s">
        <v>289</v>
      </c>
      <c r="D63" s="107">
        <v>1</v>
      </c>
      <c r="E63" s="264">
        <f>+$M$7*18</f>
        <v>115989.72</v>
      </c>
      <c r="G63" s="253">
        <v>1930000</v>
      </c>
      <c r="H63" s="254">
        <f t="shared" si="11"/>
        <v>16.639405630085147</v>
      </c>
      <c r="I63" s="255">
        <f t="shared" si="12"/>
        <v>107222.2222222222</v>
      </c>
      <c r="J63" s="103"/>
      <c r="L63" s="200"/>
      <c r="M63" s="202"/>
      <c r="N63" s="206"/>
      <c r="O63" s="207"/>
      <c r="P63" s="201"/>
    </row>
    <row r="64" spans="2:16">
      <c r="B64" s="121"/>
      <c r="C64" s="262" t="s">
        <v>290</v>
      </c>
      <c r="D64" s="107">
        <v>4</v>
      </c>
      <c r="E64" s="264">
        <f>+$M$7*12</f>
        <v>77326.48</v>
      </c>
      <c r="G64" s="253">
        <v>700000</v>
      </c>
      <c r="H64" s="254">
        <f t="shared" si="11"/>
        <v>36.210105516247481</v>
      </c>
      <c r="I64" s="255">
        <f t="shared" si="12"/>
        <v>233333.33333333334</v>
      </c>
      <c r="J64" s="103"/>
      <c r="L64" s="200"/>
      <c r="M64" s="202"/>
      <c r="N64" s="206"/>
      <c r="O64" s="207"/>
      <c r="P64" s="201"/>
    </row>
    <row r="65" spans="2:17">
      <c r="B65" s="121"/>
      <c r="C65" s="262" t="s">
        <v>291</v>
      </c>
      <c r="D65" s="107">
        <v>1</v>
      </c>
      <c r="E65" s="264">
        <f>+$M$7*18</f>
        <v>115989.72</v>
      </c>
      <c r="G65" s="253">
        <v>900000</v>
      </c>
      <c r="H65" s="254">
        <f t="shared" si="11"/>
        <v>7.7593083249101733</v>
      </c>
      <c r="I65" s="255">
        <f t="shared" si="12"/>
        <v>50000</v>
      </c>
      <c r="J65" s="103"/>
      <c r="L65" s="200"/>
      <c r="M65" s="202"/>
      <c r="N65" s="206"/>
      <c r="O65" s="207"/>
      <c r="P65" s="201"/>
    </row>
    <row r="66" spans="2:17">
      <c r="B66" s="121"/>
      <c r="C66" s="262" t="s">
        <v>292</v>
      </c>
      <c r="D66" s="107">
        <v>1</v>
      </c>
      <c r="E66" s="264">
        <f>+$M$7*18</f>
        <v>115989.72</v>
      </c>
      <c r="G66" s="253">
        <v>2212000</v>
      </c>
      <c r="H66" s="254">
        <f t="shared" si="11"/>
        <v>19.070655571890335</v>
      </c>
      <c r="I66" s="255">
        <f t="shared" si="12"/>
        <v>122888.88888888888</v>
      </c>
      <c r="J66" s="103"/>
      <c r="L66" s="200"/>
      <c r="M66" s="202"/>
      <c r="N66" s="206"/>
      <c r="O66" s="207"/>
      <c r="P66" s="201"/>
    </row>
    <row r="67" spans="2:17">
      <c r="B67" s="121"/>
      <c r="C67" s="262" t="s">
        <v>293</v>
      </c>
      <c r="D67" s="107">
        <v>2</v>
      </c>
      <c r="E67" s="264">
        <f>+$M$7*14</f>
        <v>90214.226666666655</v>
      </c>
      <c r="G67" s="253">
        <v>250000</v>
      </c>
      <c r="H67" s="254">
        <f t="shared" si="11"/>
        <v>5.5423630892215527</v>
      </c>
      <c r="I67" s="255">
        <f t="shared" si="12"/>
        <v>35714.285714285717</v>
      </c>
      <c r="J67" s="103"/>
      <c r="L67" s="200"/>
      <c r="M67" s="202"/>
      <c r="N67" s="206"/>
      <c r="O67" s="207"/>
      <c r="P67" s="201"/>
    </row>
    <row r="68" spans="2:17">
      <c r="B68" s="121"/>
      <c r="C68" s="262" t="s">
        <v>294</v>
      </c>
      <c r="D68" s="107">
        <v>1</v>
      </c>
      <c r="E68" s="264">
        <f>+$M$7*6</f>
        <v>38663.24</v>
      </c>
      <c r="G68" s="253">
        <v>160000</v>
      </c>
      <c r="H68" s="254">
        <f t="shared" si="11"/>
        <v>4.1382977732854256</v>
      </c>
      <c r="I68" s="255">
        <f t="shared" si="12"/>
        <v>26666.666666666664</v>
      </c>
      <c r="J68" s="103"/>
      <c r="L68" s="200"/>
      <c r="M68" s="202"/>
      <c r="N68" s="206"/>
      <c r="O68" s="207"/>
      <c r="P68" s="201"/>
    </row>
    <row r="69" spans="2:17">
      <c r="B69" s="121"/>
      <c r="C69" s="262" t="s">
        <v>295</v>
      </c>
      <c r="D69" s="107">
        <v>1</v>
      </c>
      <c r="E69" s="264">
        <f>+$M$7*3</f>
        <v>19331.62</v>
      </c>
      <c r="G69" s="253">
        <v>350000</v>
      </c>
      <c r="H69" s="254">
        <f t="shared" si="11"/>
        <v>18.10505275812374</v>
      </c>
      <c r="I69" s="255">
        <f t="shared" si="12"/>
        <v>116666.66666666667</v>
      </c>
      <c r="J69" s="103"/>
      <c r="L69" s="200"/>
      <c r="M69" s="202"/>
      <c r="N69" s="206"/>
      <c r="O69" s="207"/>
      <c r="P69" s="201"/>
    </row>
    <row r="70" spans="2:17">
      <c r="B70" s="128"/>
      <c r="C70" s="129" t="s">
        <v>233</v>
      </c>
      <c r="D70" s="108">
        <v>1</v>
      </c>
      <c r="E70" s="265">
        <f>+$M$7*12</f>
        <v>77326.48</v>
      </c>
      <c r="G70" s="132">
        <v>16374208</v>
      </c>
      <c r="H70" s="133">
        <f>+I70/M7</f>
        <v>211.75421408035126</v>
      </c>
      <c r="I70" s="134">
        <f>+(D70*G70)*M7/E70</f>
        <v>1364517.3333333333</v>
      </c>
      <c r="J70" s="103"/>
      <c r="L70" s="200"/>
      <c r="M70" s="202"/>
      <c r="N70" s="206"/>
      <c r="O70" s="207"/>
      <c r="P70" s="201"/>
    </row>
    <row r="71" spans="2:17">
      <c r="L71" s="201"/>
      <c r="M71" s="201"/>
      <c r="N71" s="201"/>
      <c r="O71" s="201"/>
      <c r="P71" s="201"/>
    </row>
    <row r="72" spans="2:17">
      <c r="B72" s="392" t="s">
        <v>234</v>
      </c>
      <c r="C72" s="392"/>
      <c r="D72" s="237"/>
      <c r="E72" s="237"/>
      <c r="G72" s="118"/>
      <c r="H72" s="267">
        <f>+SUM(H73:H76)</f>
        <v>373.77889281912229</v>
      </c>
      <c r="I72" s="118">
        <f>+SUM(I73:I76)</f>
        <v>2408583.84</v>
      </c>
      <c r="J72" s="112">
        <f>+H72/H104</f>
        <v>0.17172909861041183</v>
      </c>
      <c r="L72" s="200"/>
      <c r="M72" s="202"/>
      <c r="N72" s="205"/>
      <c r="O72" s="200"/>
      <c r="P72" s="203"/>
    </row>
    <row r="73" spans="2:17">
      <c r="B73" s="114"/>
      <c r="C73" s="115" t="s">
        <v>235</v>
      </c>
      <c r="D73" s="237">
        <v>1</v>
      </c>
      <c r="E73" s="263">
        <f>+M7</f>
        <v>6443.873333333333</v>
      </c>
      <c r="G73" s="118">
        <f>877803+102853</f>
        <v>980656</v>
      </c>
      <c r="H73" s="119">
        <f>+I73/$M$7</f>
        <v>152.18424529346223</v>
      </c>
      <c r="I73" s="120">
        <f>+(D73*G73)*$M$7/E73</f>
        <v>980656</v>
      </c>
      <c r="J73" s="103"/>
      <c r="L73" s="200"/>
      <c r="M73" s="202"/>
      <c r="N73" s="206"/>
      <c r="O73" s="207"/>
      <c r="P73" s="201"/>
    </row>
    <row r="74" spans="2:17">
      <c r="B74" s="121"/>
      <c r="C74" s="248" t="s">
        <v>297</v>
      </c>
      <c r="D74" s="107">
        <v>1</v>
      </c>
      <c r="E74" s="264">
        <f>+M7</f>
        <v>6443.873333333333</v>
      </c>
      <c r="G74" s="125">
        <f>877803*80%</f>
        <v>702242.4</v>
      </c>
      <c r="H74" s="126">
        <f t="shared" ref="H74:H76" si="13">+I74/$M$7</f>
        <v>108.97830600849801</v>
      </c>
      <c r="I74" s="127">
        <f t="shared" ref="I74:I76" si="14">+(D74*G74)*$M$7/E74</f>
        <v>702242.4</v>
      </c>
      <c r="J74" s="103"/>
      <c r="L74" s="200"/>
      <c r="M74" s="202"/>
      <c r="N74" s="206"/>
      <c r="O74" s="207"/>
      <c r="P74" s="201"/>
    </row>
    <row r="75" spans="2:17">
      <c r="B75" s="121"/>
      <c r="C75" s="248" t="s">
        <v>296</v>
      </c>
      <c r="D75" s="107">
        <v>1</v>
      </c>
      <c r="E75" s="264">
        <f>+M7</f>
        <v>6443.873333333333</v>
      </c>
      <c r="G75" s="125">
        <f>+G73*24%</f>
        <v>235357.44</v>
      </c>
      <c r="H75" s="126">
        <f t="shared" si="13"/>
        <v>36.524218870430936</v>
      </c>
      <c r="I75" s="127">
        <f t="shared" si="14"/>
        <v>235357.44</v>
      </c>
      <c r="J75" s="103"/>
      <c r="L75" s="266"/>
      <c r="M75" s="202"/>
      <c r="N75" s="206"/>
      <c r="O75" s="207"/>
      <c r="P75" s="201"/>
    </row>
    <row r="76" spans="2:17">
      <c r="B76" s="128"/>
      <c r="C76" s="129" t="s">
        <v>236</v>
      </c>
      <c r="D76" s="108">
        <v>1</v>
      </c>
      <c r="E76" s="265">
        <f>+E73</f>
        <v>6443.873333333333</v>
      </c>
      <c r="G76" s="132">
        <f>+G73*50%</f>
        <v>490328</v>
      </c>
      <c r="H76" s="133">
        <f t="shared" si="13"/>
        <v>76.092122646731113</v>
      </c>
      <c r="I76" s="134">
        <f t="shared" si="14"/>
        <v>490328</v>
      </c>
      <c r="J76" s="103"/>
      <c r="L76" s="200"/>
      <c r="M76" s="202"/>
      <c r="N76" s="206"/>
      <c r="O76" s="207"/>
      <c r="P76" s="201"/>
    </row>
    <row r="77" spans="2:17">
      <c r="G77" s="136"/>
      <c r="L77" s="201"/>
      <c r="M77" s="201"/>
      <c r="N77" s="201"/>
      <c r="O77" s="201"/>
      <c r="P77" s="201"/>
    </row>
    <row r="78" spans="2:17" ht="18">
      <c r="B78" s="374" t="s">
        <v>237</v>
      </c>
      <c r="C78" s="374"/>
      <c r="D78" s="374"/>
      <c r="E78" s="374"/>
      <c r="F78" s="374"/>
      <c r="G78" s="374"/>
      <c r="H78" s="137">
        <f>+H72+H61+H53+H47+H33+H30</f>
        <v>1412.3806932060525</v>
      </c>
      <c r="I78" s="138">
        <f>+I72+I61+I53+I47+I33+I30</f>
        <v>9101202.285465328</v>
      </c>
      <c r="J78" s="139">
        <f>+I78/I104</f>
        <v>0.64890465459320734</v>
      </c>
      <c r="K78" s="140"/>
      <c r="L78" s="201"/>
      <c r="M78" s="208"/>
      <c r="N78" s="179"/>
      <c r="O78" s="180"/>
      <c r="P78" s="209"/>
    </row>
    <row r="80" spans="2:17" ht="15" customHeight="1">
      <c r="B80" s="386" t="s">
        <v>238</v>
      </c>
      <c r="C80" s="387"/>
      <c r="D80" s="387"/>
      <c r="E80" s="387"/>
      <c r="F80" s="387"/>
      <c r="G80" s="387"/>
      <c r="H80" s="387"/>
      <c r="I80" s="387"/>
      <c r="J80" s="388"/>
      <c r="K80" s="109"/>
      <c r="L80" s="109"/>
      <c r="M80" s="109"/>
      <c r="N80" s="109"/>
      <c r="O80" s="109"/>
      <c r="P80" s="109"/>
      <c r="Q80" s="201"/>
    </row>
    <row r="81" spans="2:17" ht="15.75" customHeight="1" thickBot="1">
      <c r="B81" s="389"/>
      <c r="C81" s="390"/>
      <c r="D81" s="390"/>
      <c r="E81" s="390"/>
      <c r="F81" s="390"/>
      <c r="G81" s="390"/>
      <c r="H81" s="390"/>
      <c r="I81" s="390"/>
      <c r="J81" s="391"/>
      <c r="K81" s="109"/>
      <c r="L81" s="109"/>
      <c r="M81" s="109"/>
      <c r="N81" s="109"/>
      <c r="O81" s="109"/>
      <c r="P81" s="109"/>
      <c r="Q81" s="201"/>
    </row>
    <row r="82" spans="2:17" ht="15" thickTop="1"/>
    <row r="83" spans="2:17">
      <c r="B83" s="379" t="s">
        <v>239</v>
      </c>
      <c r="C83" s="379"/>
      <c r="D83" s="231"/>
      <c r="E83" s="231"/>
      <c r="G83" s="110"/>
      <c r="H83" s="113">
        <f>+SUM(H84:H90)</f>
        <v>410.20876677691786</v>
      </c>
      <c r="I83" s="110">
        <f>+SUM(I84:I90)</f>
        <v>2643333.333333333</v>
      </c>
      <c r="J83" s="141">
        <f>+H83/H104</f>
        <v>0.18846645199620229</v>
      </c>
      <c r="L83" s="200"/>
      <c r="M83" s="200"/>
      <c r="N83" s="200"/>
      <c r="O83" s="200"/>
      <c r="P83" s="200"/>
    </row>
    <row r="84" spans="2:17">
      <c r="B84" s="142"/>
      <c r="C84" s="143" t="s">
        <v>240</v>
      </c>
      <c r="D84" s="144">
        <v>1</v>
      </c>
      <c r="E84" s="145">
        <f>+M7</f>
        <v>6443.873333333333</v>
      </c>
      <c r="F84" s="146"/>
      <c r="G84" s="147">
        <v>25000</v>
      </c>
      <c r="H84" s="148">
        <f>+I84/$M$7</f>
        <v>3.8796541624550867</v>
      </c>
      <c r="I84" s="149">
        <f>+(D84*G84)*$M$7/E84</f>
        <v>25000</v>
      </c>
      <c r="J84" s="150"/>
      <c r="L84" s="200"/>
      <c r="M84" s="200"/>
      <c r="N84" s="200"/>
      <c r="O84" s="200"/>
      <c r="P84" s="200"/>
    </row>
    <row r="85" spans="2:17">
      <c r="B85" s="151"/>
      <c r="C85" s="152" t="s">
        <v>241</v>
      </c>
      <c r="D85" s="153">
        <v>1</v>
      </c>
      <c r="E85" s="154">
        <f>+$E$84*12</f>
        <v>77326.48</v>
      </c>
      <c r="F85" s="146"/>
      <c r="G85" s="155">
        <v>1800000</v>
      </c>
      <c r="H85" s="156">
        <f t="shared" ref="H85:H90" si="15">+I85/$M$7</f>
        <v>23.277924974730521</v>
      </c>
      <c r="I85" s="157">
        <f t="shared" ref="I85:I90" si="16">+(D85*G85)*$M$7/E85</f>
        <v>150000</v>
      </c>
      <c r="J85" s="150"/>
      <c r="L85" s="200"/>
      <c r="M85" s="200"/>
      <c r="N85" s="200"/>
      <c r="O85" s="200"/>
      <c r="P85" s="200"/>
    </row>
    <row r="86" spans="2:17">
      <c r="B86" s="151"/>
      <c r="C86" s="152" t="s">
        <v>298</v>
      </c>
      <c r="D86" s="153">
        <v>1</v>
      </c>
      <c r="E86" s="154">
        <f>+$E$84*12</f>
        <v>77326.48</v>
      </c>
      <c r="F86" s="146"/>
      <c r="G86" s="155">
        <v>5000000</v>
      </c>
      <c r="H86" s="156">
        <f t="shared" si="15"/>
        <v>64.660902707584768</v>
      </c>
      <c r="I86" s="157">
        <f t="shared" si="16"/>
        <v>416666.66666666663</v>
      </c>
      <c r="J86" s="150"/>
      <c r="L86" s="200"/>
      <c r="M86" s="200"/>
      <c r="N86" s="200"/>
      <c r="O86" s="200"/>
      <c r="P86" s="200"/>
    </row>
    <row r="87" spans="2:17">
      <c r="B87" s="151"/>
      <c r="C87" s="152" t="s">
        <v>242</v>
      </c>
      <c r="D87" s="153">
        <v>1</v>
      </c>
      <c r="E87" s="154">
        <f>+E84*12</f>
        <v>77326.48</v>
      </c>
      <c r="F87" s="146"/>
      <c r="G87" s="158">
        <v>890000</v>
      </c>
      <c r="H87" s="156">
        <f t="shared" si="15"/>
        <v>11.509640681950088</v>
      </c>
      <c r="I87" s="157">
        <f t="shared" si="16"/>
        <v>74166.666666666657</v>
      </c>
      <c r="J87" s="150"/>
      <c r="L87" s="200"/>
      <c r="M87" s="200"/>
      <c r="N87" s="200"/>
      <c r="O87" s="200"/>
      <c r="P87" s="200"/>
    </row>
    <row r="88" spans="2:17">
      <c r="B88" s="151"/>
      <c r="C88" s="152" t="s">
        <v>243</v>
      </c>
      <c r="D88" s="153">
        <v>1</v>
      </c>
      <c r="E88" s="154">
        <f>+E84</f>
        <v>6443.873333333333</v>
      </c>
      <c r="F88" s="146"/>
      <c r="G88" s="155">
        <v>1200000</v>
      </c>
      <c r="H88" s="156">
        <f t="shared" si="15"/>
        <v>186.22339979784417</v>
      </c>
      <c r="I88" s="157">
        <f t="shared" si="16"/>
        <v>1200000</v>
      </c>
      <c r="J88" s="150"/>
      <c r="L88" s="200"/>
      <c r="M88" s="200"/>
      <c r="N88" s="200"/>
      <c r="O88" s="200"/>
      <c r="P88" s="200"/>
    </row>
    <row r="89" spans="2:17">
      <c r="B89" s="151"/>
      <c r="C89" s="152" t="s">
        <v>299</v>
      </c>
      <c r="D89" s="153">
        <v>1</v>
      </c>
      <c r="E89" s="154">
        <f>+E88*12</f>
        <v>77326.48</v>
      </c>
      <c r="F89" s="146"/>
      <c r="G89" s="155">
        <v>9000000</v>
      </c>
      <c r="H89" s="156">
        <f t="shared" si="15"/>
        <v>116.38962487365261</v>
      </c>
      <c r="I89" s="157">
        <f t="shared" si="16"/>
        <v>750000</v>
      </c>
      <c r="J89" s="150"/>
      <c r="L89" s="200"/>
      <c r="M89" s="200"/>
      <c r="N89" s="200"/>
      <c r="O89" s="200"/>
      <c r="P89" s="200"/>
    </row>
    <row r="90" spans="2:17">
      <c r="B90" s="159"/>
      <c r="C90" s="160" t="s">
        <v>244</v>
      </c>
      <c r="D90" s="161">
        <v>1</v>
      </c>
      <c r="E90" s="162">
        <f>+E88*12</f>
        <v>77326.48</v>
      </c>
      <c r="F90" s="146"/>
      <c r="G90" s="163">
        <v>330000</v>
      </c>
      <c r="H90" s="164">
        <f t="shared" si="15"/>
        <v>4.2676195787005957</v>
      </c>
      <c r="I90" s="165">
        <f t="shared" si="16"/>
        <v>27500</v>
      </c>
      <c r="J90" s="150"/>
      <c r="L90" s="200"/>
      <c r="M90" s="200"/>
      <c r="N90" s="200"/>
      <c r="O90" s="200"/>
      <c r="P90" s="200"/>
    </row>
    <row r="91" spans="2:17">
      <c r="B91" s="150"/>
      <c r="C91" s="150"/>
      <c r="D91" s="166"/>
      <c r="E91" s="167"/>
      <c r="F91" s="146"/>
      <c r="G91" s="168"/>
      <c r="H91" s="169"/>
      <c r="I91" s="170"/>
      <c r="J91" s="150"/>
      <c r="L91" s="200"/>
      <c r="M91" s="200"/>
      <c r="N91" s="200"/>
      <c r="O91" s="200"/>
      <c r="P91" s="200"/>
    </row>
    <row r="92" spans="2:17" ht="18.75" customHeight="1">
      <c r="B92" s="366" t="s">
        <v>245</v>
      </c>
      <c r="C92" s="366"/>
      <c r="D92" s="366"/>
      <c r="E92" s="366"/>
      <c r="F92" s="366"/>
      <c r="G92" s="366"/>
      <c r="H92" s="171">
        <f>+H83</f>
        <v>410.20876677691786</v>
      </c>
      <c r="I92" s="172">
        <f>+I83</f>
        <v>2643333.333333333</v>
      </c>
      <c r="J92" s="173">
        <f>+H92/H104</f>
        <v>0.18846645199620229</v>
      </c>
      <c r="L92" s="200"/>
      <c r="M92" s="200"/>
      <c r="N92" s="200"/>
      <c r="O92" s="200"/>
      <c r="P92" s="200"/>
    </row>
    <row r="93" spans="2:17">
      <c r="B93" s="146"/>
      <c r="C93" s="146"/>
      <c r="D93" s="146"/>
      <c r="E93" s="146"/>
      <c r="F93" s="146"/>
      <c r="G93" s="146"/>
      <c r="H93" s="146"/>
      <c r="I93" s="146"/>
      <c r="J93" s="146"/>
    </row>
    <row r="94" spans="2:17" ht="15" customHeight="1">
      <c r="B94" s="367" t="s">
        <v>246</v>
      </c>
      <c r="C94" s="368"/>
      <c r="D94" s="368"/>
      <c r="E94" s="368"/>
      <c r="F94" s="368"/>
      <c r="G94" s="368"/>
      <c r="H94" s="368"/>
      <c r="I94" s="368"/>
      <c r="J94" s="369"/>
      <c r="K94" s="109"/>
      <c r="L94" s="109"/>
      <c r="M94" s="109"/>
      <c r="N94" s="109"/>
      <c r="O94" s="109"/>
      <c r="P94" s="109"/>
    </row>
    <row r="95" spans="2:17" ht="15.75" customHeight="1" thickBot="1">
      <c r="B95" s="370"/>
      <c r="C95" s="371"/>
      <c r="D95" s="371"/>
      <c r="E95" s="371"/>
      <c r="F95" s="371"/>
      <c r="G95" s="371"/>
      <c r="H95" s="371"/>
      <c r="I95" s="371"/>
      <c r="J95" s="372"/>
      <c r="K95" s="109"/>
      <c r="L95" s="109"/>
      <c r="M95" s="109"/>
      <c r="N95" s="109"/>
      <c r="O95" s="109"/>
      <c r="P95" s="109"/>
    </row>
    <row r="96" spans="2:17" ht="15" thickTop="1">
      <c r="B96" s="146"/>
      <c r="C96" s="146"/>
      <c r="D96" s="146"/>
      <c r="E96" s="146"/>
      <c r="F96" s="146"/>
      <c r="G96" s="146"/>
      <c r="H96" s="146"/>
      <c r="I96" s="146"/>
      <c r="J96" s="146"/>
    </row>
    <row r="97" spans="2:16">
      <c r="B97" s="373" t="s">
        <v>247</v>
      </c>
      <c r="C97" s="373"/>
      <c r="D97" s="174"/>
      <c r="E97" s="174"/>
      <c r="F97" s="146"/>
      <c r="G97" s="175"/>
      <c r="H97" s="176">
        <f>+SUM(H98:H99)</f>
        <v>353.97173927589699</v>
      </c>
      <c r="I97" s="175">
        <f>+SUM(I98:I99)</f>
        <v>2280949.0514735719</v>
      </c>
      <c r="J97" s="223">
        <f>+H97/H104</f>
        <v>0.16262889341059034</v>
      </c>
      <c r="L97" s="200"/>
      <c r="M97" s="200"/>
      <c r="N97" s="200"/>
      <c r="O97" s="200"/>
      <c r="P97" s="200"/>
    </row>
    <row r="98" spans="2:16">
      <c r="B98" s="142"/>
      <c r="C98" s="143" t="s">
        <v>248</v>
      </c>
      <c r="D98" s="144">
        <v>1</v>
      </c>
      <c r="E98" s="224">
        <f>+M7*12</f>
        <v>77326.48</v>
      </c>
      <c r="F98" s="146"/>
      <c r="G98" s="147">
        <f>+D7*0.7*D12</f>
        <v>15523491.070197744</v>
      </c>
      <c r="H98" s="148">
        <f>+I98/$M$7</f>
        <v>200.75258915442348</v>
      </c>
      <c r="I98" s="149">
        <f>+(D98*G98)*$M$7/E98</f>
        <v>1293624.2558498119</v>
      </c>
      <c r="J98" s="150"/>
      <c r="L98" s="200"/>
      <c r="M98" s="200"/>
      <c r="N98" s="200"/>
      <c r="O98" s="200"/>
      <c r="P98" s="200"/>
    </row>
    <row r="99" spans="2:16">
      <c r="B99" s="159"/>
      <c r="C99" s="160" t="s">
        <v>249</v>
      </c>
      <c r="D99" s="161">
        <v>1</v>
      </c>
      <c r="E99" s="225">
        <f>+M7*12</f>
        <v>77326.48</v>
      </c>
      <c r="F99" s="146"/>
      <c r="G99" s="177">
        <f>+D16-G98</f>
        <v>11847897.547485119</v>
      </c>
      <c r="H99" s="164">
        <f>+I99/$M$7</f>
        <v>153.21915012147352</v>
      </c>
      <c r="I99" s="165">
        <f>+(D99*G99)*$M$7/E99</f>
        <v>987324.79562375986</v>
      </c>
      <c r="J99" s="150"/>
      <c r="L99" s="230"/>
      <c r="M99" s="200"/>
      <c r="N99" s="200"/>
      <c r="O99" s="200"/>
      <c r="P99" s="200"/>
    </row>
    <row r="100" spans="2:16">
      <c r="L100" s="200"/>
      <c r="M100" s="200"/>
      <c r="N100" s="200"/>
      <c r="O100" s="200"/>
      <c r="P100" s="200"/>
    </row>
    <row r="101" spans="2:16" ht="18.75" customHeight="1">
      <c r="B101" s="374" t="s">
        <v>250</v>
      </c>
      <c r="C101" s="374"/>
      <c r="D101" s="374"/>
      <c r="E101" s="374"/>
      <c r="F101" s="374"/>
      <c r="G101" s="374"/>
      <c r="H101" s="137">
        <f>+H97</f>
        <v>353.97173927589699</v>
      </c>
      <c r="I101" s="138">
        <f>+I97</f>
        <v>2280949.0514735719</v>
      </c>
      <c r="J101" s="139">
        <f>+J97</f>
        <v>0.16262889341059034</v>
      </c>
      <c r="L101" s="200"/>
      <c r="M101" s="200"/>
      <c r="N101" s="200"/>
      <c r="O101" s="200"/>
      <c r="P101" s="200"/>
    </row>
    <row r="102" spans="2:16" ht="18.75" customHeight="1">
      <c r="B102" s="178"/>
      <c r="C102" s="178"/>
      <c r="D102" s="178"/>
      <c r="E102" s="178"/>
      <c r="F102" s="178"/>
      <c r="G102" s="178"/>
      <c r="H102" s="179"/>
      <c r="I102" s="180"/>
      <c r="L102" s="200"/>
      <c r="M102" s="200"/>
      <c r="N102" s="200"/>
      <c r="O102" s="200"/>
      <c r="P102" s="200"/>
    </row>
    <row r="103" spans="2:16">
      <c r="L103" s="200"/>
      <c r="M103" s="200"/>
      <c r="N103" s="200"/>
      <c r="O103" s="200"/>
      <c r="P103" s="200"/>
    </row>
    <row r="104" spans="2:16" s="184" customFormat="1" ht="30" customHeight="1">
      <c r="B104" s="375" t="s">
        <v>300</v>
      </c>
      <c r="C104" s="375"/>
      <c r="D104" s="375"/>
      <c r="E104" s="375"/>
      <c r="F104" s="375"/>
      <c r="G104" s="375"/>
      <c r="H104" s="181">
        <f>+H101+H92+H78</f>
        <v>2176.5611992588674</v>
      </c>
      <c r="I104" s="182">
        <f>+I101+I92+I78</f>
        <v>14025484.670272233</v>
      </c>
      <c r="J104" s="183">
        <f>+J101+J92+J78</f>
        <v>1</v>
      </c>
      <c r="L104" s="200"/>
      <c r="M104" s="200"/>
      <c r="N104" s="200"/>
      <c r="O104" s="200"/>
      <c r="P104" s="200"/>
    </row>
    <row r="105" spans="2:16" s="184" customFormat="1" ht="15.75" customHeight="1">
      <c r="B105" s="185"/>
      <c r="C105" s="185"/>
      <c r="D105" s="185"/>
      <c r="E105" s="185"/>
      <c r="F105" s="185"/>
      <c r="G105" s="185"/>
      <c r="H105" s="186"/>
      <c r="I105" s="187"/>
      <c r="J105" s="188"/>
      <c r="L105" s="200"/>
      <c r="M105" s="200"/>
      <c r="N105" s="200"/>
      <c r="O105" s="200"/>
      <c r="P105" s="200"/>
    </row>
    <row r="107" spans="2:16" ht="18.75" customHeight="1">
      <c r="B107" s="374" t="s">
        <v>251</v>
      </c>
      <c r="C107" s="374"/>
      <c r="D107" s="374"/>
      <c r="E107" s="374"/>
      <c r="F107" s="374"/>
      <c r="G107" s="374"/>
      <c r="H107" s="374"/>
      <c r="I107" s="376">
        <v>2000</v>
      </c>
      <c r="J107" s="376"/>
    </row>
    <row r="108" spans="2:16" ht="18.75" customHeight="1">
      <c r="B108" s="377" t="s">
        <v>267</v>
      </c>
      <c r="C108" s="377"/>
      <c r="D108" s="377"/>
      <c r="E108" s="377"/>
      <c r="F108" s="377"/>
      <c r="G108" s="377"/>
      <c r="H108" s="377"/>
      <c r="I108" s="378">
        <f>+I104/M13</f>
        <v>2688.5026959430916</v>
      </c>
      <c r="J108" s="378"/>
    </row>
    <row r="109" spans="2:16" ht="30" customHeight="1">
      <c r="B109" s="401" t="s">
        <v>254</v>
      </c>
      <c r="C109" s="402"/>
      <c r="D109" s="402"/>
      <c r="E109" s="402"/>
      <c r="F109" s="402"/>
      <c r="G109" s="402"/>
      <c r="H109" s="402"/>
      <c r="I109" s="376">
        <v>0</v>
      </c>
      <c r="J109" s="376"/>
    </row>
    <row r="110" spans="2:16" ht="18.75" customHeight="1">
      <c r="B110" s="374" t="s">
        <v>255</v>
      </c>
      <c r="C110" s="374"/>
      <c r="D110" s="374"/>
      <c r="E110" s="374"/>
      <c r="F110" s="374"/>
      <c r="G110" s="374"/>
      <c r="H110" s="374"/>
      <c r="I110" s="376">
        <v>0</v>
      </c>
      <c r="J110" s="376"/>
    </row>
    <row r="111" spans="2:16" ht="18">
      <c r="B111" s="374" t="s">
        <v>301</v>
      </c>
      <c r="C111" s="374"/>
      <c r="D111" s="374"/>
      <c r="E111" s="374"/>
      <c r="F111" s="374"/>
      <c r="G111" s="374"/>
      <c r="H111" s="374"/>
      <c r="I111" s="376">
        <f>+SUM(I108:J110)</f>
        <v>2688.5026959430916</v>
      </c>
      <c r="J111" s="376"/>
      <c r="L111" s="210"/>
    </row>
    <row r="112" spans="2:16" ht="18">
      <c r="B112" s="377" t="s">
        <v>257</v>
      </c>
      <c r="C112" s="377"/>
      <c r="D112" s="377"/>
      <c r="E112" s="377"/>
      <c r="F112" s="377"/>
      <c r="G112" s="377"/>
      <c r="H112" s="377"/>
      <c r="I112" s="378">
        <f>+CEILING(I111,50)</f>
        <v>2700</v>
      </c>
      <c r="J112" s="378"/>
    </row>
    <row r="113" spans="2:10" ht="18">
      <c r="B113" s="374" t="s">
        <v>256</v>
      </c>
      <c r="C113" s="374"/>
      <c r="D113" s="374"/>
      <c r="E113" s="374"/>
      <c r="F113" s="374"/>
      <c r="G113" s="374"/>
      <c r="H113" s="374"/>
      <c r="I113" s="400">
        <f>+I112/I107-1</f>
        <v>0.35000000000000009</v>
      </c>
      <c r="J113" s="400"/>
    </row>
  </sheetData>
  <mergeCells count="75">
    <mergeCell ref="B3:C3"/>
    <mergeCell ref="D3:E3"/>
    <mergeCell ref="G3:H3"/>
    <mergeCell ref="J3:K3"/>
    <mergeCell ref="B4:C4"/>
    <mergeCell ref="D4:E4"/>
    <mergeCell ref="G4:H4"/>
    <mergeCell ref="J4:K4"/>
    <mergeCell ref="B5:C6"/>
    <mergeCell ref="D5:E5"/>
    <mergeCell ref="G5:H5"/>
    <mergeCell ref="J5:K5"/>
    <mergeCell ref="D6:E6"/>
    <mergeCell ref="G6:H6"/>
    <mergeCell ref="J6:K6"/>
    <mergeCell ref="B7:C8"/>
    <mergeCell ref="D7:E8"/>
    <mergeCell ref="G7:H7"/>
    <mergeCell ref="J7:K7"/>
    <mergeCell ref="B9:C9"/>
    <mergeCell ref="D9:E9"/>
    <mergeCell ref="G9:M9"/>
    <mergeCell ref="B15:C15"/>
    <mergeCell ref="D15:E15"/>
    <mergeCell ref="D10:E10"/>
    <mergeCell ref="J10:K10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B47:C47"/>
    <mergeCell ref="B16:C16"/>
    <mergeCell ref="D16:E16"/>
    <mergeCell ref="B17:C17"/>
    <mergeCell ref="D17:E17"/>
    <mergeCell ref="B21:E21"/>
    <mergeCell ref="B22:C25"/>
    <mergeCell ref="D22:D25"/>
    <mergeCell ref="E22:E25"/>
    <mergeCell ref="H22:H25"/>
    <mergeCell ref="J22:J25"/>
    <mergeCell ref="B27:J28"/>
    <mergeCell ref="B30:C30"/>
    <mergeCell ref="B33:C33"/>
    <mergeCell ref="B107:H107"/>
    <mergeCell ref="I107:J107"/>
    <mergeCell ref="B53:C53"/>
    <mergeCell ref="B61:C61"/>
    <mergeCell ref="B72:C72"/>
    <mergeCell ref="B78:G78"/>
    <mergeCell ref="B80:J81"/>
    <mergeCell ref="B83:C83"/>
    <mergeCell ref="B92:G92"/>
    <mergeCell ref="B94:J95"/>
    <mergeCell ref="B97:C97"/>
    <mergeCell ref="B101:G101"/>
    <mergeCell ref="B104:G104"/>
    <mergeCell ref="B108:H108"/>
    <mergeCell ref="I108:J108"/>
    <mergeCell ref="B109:H109"/>
    <mergeCell ref="I109:J109"/>
    <mergeCell ref="B110:H110"/>
    <mergeCell ref="I110:J110"/>
    <mergeCell ref="B111:H111"/>
    <mergeCell ref="I111:J111"/>
    <mergeCell ref="B112:H112"/>
    <mergeCell ref="I112:J112"/>
    <mergeCell ref="B113:H113"/>
    <mergeCell ref="I113:J1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24" sqref="D24"/>
    </sheetView>
  </sheetViews>
  <sheetFormatPr baseColWidth="10" defaultRowHeight="12.6"/>
  <cols>
    <col min="1" max="1" width="14.7265625" bestFit="1" customWidth="1"/>
  </cols>
  <sheetData>
    <row r="1" spans="1:5">
      <c r="A1" s="211" t="s">
        <v>258</v>
      </c>
      <c r="B1" s="212">
        <v>2000</v>
      </c>
    </row>
    <row r="2" spans="1:5">
      <c r="A2" s="211" t="s">
        <v>259</v>
      </c>
      <c r="B2" s="212">
        <f>+B1/'TARIFA TPC 2022'!$M$11</f>
        <v>75.253982189890877</v>
      </c>
    </row>
    <row r="4" spans="1:5">
      <c r="A4" s="211" t="s">
        <v>264</v>
      </c>
      <c r="B4" s="211" t="s">
        <v>260</v>
      </c>
      <c r="C4" s="211" t="s">
        <v>261</v>
      </c>
      <c r="D4" s="211" t="s">
        <v>262</v>
      </c>
    </row>
    <row r="5" spans="1:5">
      <c r="A5" s="211" t="s">
        <v>263</v>
      </c>
      <c r="B5" s="213">
        <f>+'TARIFA TPC 2022'!I11</f>
        <v>20.333333333333332</v>
      </c>
      <c r="C5" s="213">
        <f>+'TARIFA TPC 2022'!J11</f>
        <v>3.0333333333333332</v>
      </c>
      <c r="D5" s="213">
        <f>+'TARIFA TPC 2022'!L11</f>
        <v>3.21</v>
      </c>
    </row>
    <row r="6" spans="1:5">
      <c r="A6" s="211" t="s">
        <v>265</v>
      </c>
      <c r="B6" s="214">
        <f>+$B$2*B5</f>
        <v>1530.164304527781</v>
      </c>
      <c r="C6" s="214">
        <f t="shared" ref="C6:D6" si="0">+$B$2*C5</f>
        <v>228.27041264266899</v>
      </c>
      <c r="D6" s="214">
        <f t="shared" si="0"/>
        <v>241.56528282954972</v>
      </c>
      <c r="E6" s="215">
        <f>+SUM(B6:D6)</f>
        <v>1999.9999999999998</v>
      </c>
    </row>
    <row r="7" spans="1:5">
      <c r="A7" s="211" t="s">
        <v>266</v>
      </c>
      <c r="B7" s="216">
        <f>+B6/$B$1</f>
        <v>0.76508215226389054</v>
      </c>
      <c r="C7" s="216">
        <f t="shared" ref="C7:D7" si="1">+C6/$B$1</f>
        <v>0.11413520632133449</v>
      </c>
      <c r="D7" s="216">
        <f t="shared" si="1"/>
        <v>0.12078264141477486</v>
      </c>
      <c r="E7" s="217">
        <f>+SUM(B7:D7)</f>
        <v>0.99999999999999989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</vt:lpstr>
      <vt:lpstr>CCPP</vt:lpstr>
      <vt:lpstr>Beta EM</vt:lpstr>
      <vt:lpstr>PM</vt:lpstr>
      <vt:lpstr>TRM</vt:lpstr>
      <vt:lpstr>TARIFA TPC 2022</vt:lpstr>
      <vt:lpstr>TARIFA TPC COVID</vt:lpstr>
      <vt:lpstr>$ porcentuales</vt:lpstr>
    </vt:vector>
  </TitlesOfParts>
  <Company>LFMR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Mejia R</dc:creator>
  <cp:lastModifiedBy>Angarock7</cp:lastModifiedBy>
  <cp:lastPrinted>2019-02-18T21:45:42Z</cp:lastPrinted>
  <dcterms:created xsi:type="dcterms:W3CDTF">2005-01-30T23:10:09Z</dcterms:created>
  <dcterms:modified xsi:type="dcterms:W3CDTF">2022-07-07T00:15:45Z</dcterms:modified>
</cp:coreProperties>
</file>